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3035" activeTab="0"/>
  </bookViews>
  <sheets>
    <sheet name="Eingabe" sheetId="1" r:id="rId1"/>
    <sheet name="Berechnung" sheetId="2" r:id="rId2"/>
  </sheets>
  <definedNames/>
  <calcPr fullCalcOnLoad="1"/>
</workbook>
</file>

<file path=xl/comments1.xml><?xml version="1.0" encoding="utf-8"?>
<comments xmlns="http://schemas.openxmlformats.org/spreadsheetml/2006/main">
  <authors>
    <author/>
  </authors>
  <commentList>
    <comment ref="A12" authorId="0">
      <text>
        <r>
          <rPr>
            <sz val="8"/>
            <color indexed="8"/>
            <rFont val="Tahoma"/>
            <family val="2"/>
          </rPr>
          <t>Krankenkassenbeitragssatz eingeben (</t>
        </r>
        <r>
          <rPr>
            <b/>
            <sz val="8"/>
            <color indexed="8"/>
            <rFont val="Tahoma"/>
            <family val="2"/>
          </rPr>
          <t>ohne</t>
        </r>
        <r>
          <rPr>
            <sz val="8"/>
            <color indexed="8"/>
            <rFont val="Tahoma"/>
            <family val="2"/>
          </rPr>
          <t xml:space="preserve"> 0,9% AN-Sonderanteil) bzw. bei privater Krankenversicherung (nur) Eigenanteil in Euro (KV + PV,  AG-Zuschuss abgezogen). Ohne Nachweis der PKV eine 0 eingeben.
Freiwillig Versicherte: Bei (gesetzlichem) Arbeitgeberzuschuss Einstellung wie bei gesetzlich Krankenversicherten, ohne Arbeitgeberzuschuss Einstellung wie bei privat Versicherten.</t>
        </r>
      </text>
    </comment>
    <comment ref="C42" authorId="0">
      <text>
        <r>
          <rPr>
            <b/>
            <sz val="8"/>
            <color indexed="8"/>
            <rFont val="Times New Roman"/>
            <family val="1"/>
          </rPr>
          <t xml:space="preserve">Geben sie hier ihr Soll-Entgelt ein!
</t>
        </r>
      </text>
    </comment>
  </commentList>
</comments>
</file>

<file path=xl/sharedStrings.xml><?xml version="1.0" encoding="utf-8"?>
<sst xmlns="http://schemas.openxmlformats.org/spreadsheetml/2006/main" count="272" uniqueCount="133">
  <si>
    <t>LST 2010</t>
  </si>
  <si>
    <t>ALTER1</t>
  </si>
  <si>
    <t>ZKF</t>
  </si>
  <si>
    <t>LZZ</t>
  </si>
  <si>
    <t>KRV</t>
  </si>
  <si>
    <t>ZRE4J</t>
  </si>
  <si>
    <t>STKL</t>
  </si>
  <si>
    <t>JLFREIB</t>
  </si>
  <si>
    <t xml:space="preserve"> </t>
  </si>
  <si>
    <t>JLHINZU</t>
  </si>
  <si>
    <t>RV-BEMES</t>
  </si>
  <si>
    <t>PKV</t>
  </si>
  <si>
    <t>PV%</t>
  </si>
  <si>
    <t>MRE4ALTE</t>
  </si>
  <si>
    <t>TAB4</t>
  </si>
  <si>
    <t>TAB5</t>
  </si>
  <si>
    <t>ALTEANTEIL</t>
  </si>
  <si>
    <t>ALTE</t>
  </si>
  <si>
    <t>ZRE4</t>
  </si>
  <si>
    <t>ZRE4VP</t>
  </si>
  <si>
    <t>MRE4</t>
  </si>
  <si>
    <t>MZTABFB</t>
  </si>
  <si>
    <t>KZTAB</t>
  </si>
  <si>
    <t>ANP</t>
  </si>
  <si>
    <t>EFA</t>
  </si>
  <si>
    <t>SAP</t>
  </si>
  <si>
    <t>KFB</t>
  </si>
  <si>
    <t>ZTABFB</t>
  </si>
  <si>
    <t>UPEVP</t>
  </si>
  <si>
    <t>VSP1</t>
  </si>
  <si>
    <t>VHB</t>
  </si>
  <si>
    <t>VSP2</t>
  </si>
  <si>
    <t>7,6%+PV</t>
  </si>
  <si>
    <t>KV</t>
  </si>
  <si>
    <t>KV&gt;VHB?</t>
  </si>
  <si>
    <t>VSPN</t>
  </si>
  <si>
    <t>UMVSP</t>
  </si>
  <si>
    <t>ZVE</t>
  </si>
  <si>
    <t>ZZX</t>
  </si>
  <si>
    <t>UPTAB07</t>
  </si>
  <si>
    <t>ST</t>
  </si>
  <si>
    <t>MST5-6</t>
  </si>
  <si>
    <t>X</t>
  </si>
  <si>
    <t>ST1</t>
  </si>
  <si>
    <t>ST2</t>
  </si>
  <si>
    <t>DIFF</t>
  </si>
  <si>
    <t>MIST</t>
  </si>
  <si>
    <t>VERGL</t>
  </si>
  <si>
    <t>MIT REICHST</t>
  </si>
  <si>
    <t>LSTJAHR</t>
  </si>
  <si>
    <t>JW</t>
  </si>
  <si>
    <t>MLSTJAHR</t>
  </si>
  <si>
    <t>LSTLZZ</t>
  </si>
  <si>
    <t>ZVE, X</t>
  </si>
  <si>
    <t>JBMG</t>
  </si>
  <si>
    <t>MSOLZ</t>
  </si>
  <si>
    <t>SOLZFREI</t>
  </si>
  <si>
    <t>SOLZJ</t>
  </si>
  <si>
    <t>SOLZMIN</t>
  </si>
  <si>
    <t>SOLZ</t>
  </si>
  <si>
    <t>ANTEIL1</t>
  </si>
  <si>
    <t>SOLZLZZ</t>
  </si>
  <si>
    <t>BK</t>
  </si>
  <si>
    <t>Vergleichsrechnung KUG/Normalbezug 2010</t>
  </si>
  <si>
    <t>Klasse=</t>
  </si>
  <si>
    <t>Steuerpflichtiges Brutto</t>
  </si>
  <si>
    <t>€</t>
  </si>
  <si>
    <t>ohne KU</t>
  </si>
  <si>
    <t>Soll-Arbeitstage&gt;&gt;</t>
  </si>
  <si>
    <t>KUG-Tabelle + Berechnung ausgeblendet.</t>
  </si>
  <si>
    <t>KU-Tage&gt;&gt;</t>
  </si>
  <si>
    <t>Info: C. Lindemann</t>
  </si>
  <si>
    <t>vorauss. KU-Zahlung lt. Aamt-Liste =</t>
  </si>
  <si>
    <t>Steuerpflichtiger Arbeitslohn bei KUG =</t>
  </si>
  <si>
    <t>Lohnsteuerberechnung 2010 mit Zellfunktionen</t>
  </si>
  <si>
    <t>im Jahr=1, Monat=2, Woche=3, Tag=4</t>
  </si>
  <si>
    <t>Steuerklasse 1 - 6</t>
  </si>
  <si>
    <t>allgemeine(=0) oder besondere (=1) Lsttabelle</t>
  </si>
  <si>
    <r>
      <t xml:space="preserve">Kinderfreibetrag (0, </t>
    </r>
    <r>
      <rPr>
        <b/>
        <sz val="10"/>
        <rFont val="Arial"/>
        <family val="2"/>
      </rPr>
      <t>0.5</t>
    </r>
    <r>
      <rPr>
        <sz val="10"/>
        <rFont val="Arial"/>
        <family val="0"/>
      </rPr>
      <t xml:space="preserve">, 1, </t>
    </r>
    <r>
      <rPr>
        <b/>
        <sz val="10"/>
        <rFont val="Arial"/>
        <family val="2"/>
      </rPr>
      <t xml:space="preserve">1.5, </t>
    </r>
    <r>
      <rPr>
        <sz val="10"/>
        <rFont val="Arial"/>
        <family val="0"/>
      </rPr>
      <t>2.0</t>
    </r>
    <r>
      <rPr>
        <b/>
        <sz val="10"/>
        <rFont val="Arial"/>
        <family val="2"/>
      </rPr>
      <t>, 2.5</t>
    </r>
    <r>
      <rPr>
        <sz val="10"/>
        <rFont val="Arial"/>
        <family val="0"/>
      </rPr>
      <t xml:space="preserve"> usw)</t>
    </r>
  </si>
  <si>
    <t xml:space="preserve">Das Programm ist FreeWare. Es kann von jedem nach seinen </t>
  </si>
  <si>
    <t>Kirchensteuer (0=keine, 8=8%, 9=9%)</t>
  </si>
  <si>
    <t>%</t>
  </si>
  <si>
    <t>Wünschen verändert werden. Das Layout ist einfachst gestaltet.</t>
  </si>
  <si>
    <t>Krankenversicherungsatz, privat=in € (KV+PV)</t>
  </si>
  <si>
    <t>%/€</t>
  </si>
  <si>
    <r>
      <t xml:space="preserve">Zur Anzeige der Zellfunktionen auf </t>
    </r>
    <r>
      <rPr>
        <b/>
        <sz val="10"/>
        <rFont val="Arial"/>
        <family val="2"/>
      </rPr>
      <t xml:space="preserve">Extras_Optionen... </t>
    </r>
    <r>
      <rPr>
        <sz val="10"/>
        <rFont val="Arial"/>
        <family val="0"/>
      </rPr>
      <t>gehen</t>
    </r>
  </si>
  <si>
    <t>kinderlos u. über 23jährig (PflegeV)  nein=0 ja=1</t>
  </si>
  <si>
    <r>
      <t>und bei</t>
    </r>
    <r>
      <rPr>
        <b/>
        <sz val="10"/>
        <rFont val="Arial"/>
        <family val="2"/>
      </rPr>
      <t xml:space="preserve"> Ansicht</t>
    </r>
    <r>
      <rPr>
        <sz val="10"/>
        <rFont val="Arial"/>
        <family val="0"/>
      </rPr>
      <t xml:space="preserve"> unter </t>
    </r>
    <r>
      <rPr>
        <b/>
        <sz val="10"/>
        <rFont val="Arial"/>
        <family val="2"/>
      </rPr>
      <t xml:space="preserve">Fensteroptionen </t>
    </r>
    <r>
      <rPr>
        <sz val="10"/>
        <rFont val="Arial"/>
        <family val="0"/>
      </rPr>
      <t>Kästchen</t>
    </r>
    <r>
      <rPr>
        <b/>
        <sz val="10"/>
        <rFont val="Arial"/>
        <family val="2"/>
      </rPr>
      <t xml:space="preserve"> Formeln</t>
    </r>
  </si>
  <si>
    <t>Arbeitsplatz in Ostdeutschland nein=0 ja=1</t>
  </si>
  <si>
    <t>aktivieren.</t>
  </si>
  <si>
    <t>und dabei in Sachsen nein=0 ja=1</t>
  </si>
  <si>
    <r>
      <t xml:space="preserve">Zum </t>
    </r>
    <r>
      <rPr>
        <b/>
        <sz val="10"/>
        <rFont val="Arial"/>
        <family val="2"/>
      </rPr>
      <t>Berechnen</t>
    </r>
    <r>
      <rPr>
        <sz val="10"/>
        <rFont val="Arial"/>
        <family val="0"/>
      </rPr>
      <t xml:space="preserve"> gewünschte Werte eingeben und </t>
    </r>
    <r>
      <rPr>
        <b/>
        <sz val="10"/>
        <color indexed="10"/>
        <rFont val="Arial"/>
        <family val="2"/>
      </rPr>
      <t>Eingabe</t>
    </r>
  </si>
  <si>
    <t>geboren vor 1941=1, 1941=2, 1942=3, 1943=4, 1944=5, nach 1944=0</t>
  </si>
  <si>
    <t>mit "ENTER"-Taste abschließen.</t>
  </si>
  <si>
    <t>(Jahres)Hinzurechnungen</t>
  </si>
  <si>
    <t>KV-Beitragssatz ohne 0,9% Arbeitnehmersonderbeitrag eingeben!</t>
  </si>
  <si>
    <t>(Jahres)lohnsteuerfreibetrag auf LStKarte</t>
  </si>
  <si>
    <t>ab 1.7.2009 Krankenversicherungsbeitragseinheitssatz 14,0%</t>
  </si>
  <si>
    <t>Lohnsteuer</t>
  </si>
  <si>
    <t>Solidaritätszuschlag</t>
  </si>
  <si>
    <t>Kirchensteuer</t>
  </si>
  <si>
    <t>Rentenversicherung</t>
  </si>
  <si>
    <t>Die Zellfunktionen für die Berechnung der Sozialversicherungsbei-</t>
  </si>
  <si>
    <t>Krankenversicherung (+ 0,9% Sonder-AN-Anteil)</t>
  </si>
  <si>
    <t>träge befinden sich in den nebenstehenden Zellen B20-B23 und be-</t>
  </si>
  <si>
    <t>Pflegeversicherung</t>
  </si>
  <si>
    <t xml:space="preserve">ziehen sich auf die Zellen B2-B11. </t>
  </si>
  <si>
    <t>Arbeitslosenversicherung</t>
  </si>
  <si>
    <t>Abzüge</t>
  </si>
  <si>
    <t>Nettolohn</t>
  </si>
  <si>
    <t>Diff. Nettolohn eff. (Progressionsvorbeh.!)</t>
  </si>
  <si>
    <t>Kurzarbeitergeld 2010</t>
  </si>
  <si>
    <t>Soweit Arbeitnehmer keine Beiträge zur Sozialversicherung zu tragen haben (=Geringverdiener; Verdienst unter 325 Euro), gilt eine besondere Tabelle.</t>
  </si>
  <si>
    <t>Soll-Entgelt (Brutto):</t>
  </si>
  <si>
    <t>Sollentgelt ist das Bruttoarbeitsentgelt, das der Arbeitnehmer ohne den Arbeitsausfall im Kalendermonat erzielt hätte. Nicht zum Sollentgelt gehören Vergütungen für Mehrarbeit (Stundenlohn und Zuschläge), steuer- und beitragsfreie Zuschläge für Sonntags-, Feiertags- und Nachtarbeit sowie einmalig gezahltes Arbeitsentgelt. Es sind also nur beitragspflichtige Einnahmen im Sinne des SGB III anzusetzen, die auch als Entgelt im Sinne der Sozialversicherung anzusehen sind.
Zum Sollentgelt gehören also auch vermögenswirksame Leistungen (Zuzahlung des Arbeitgebers), Leistungs- und Erschwerniszulagen sowie Zuschläge für Sonntags-, Feiertags- und Nachtarbeit, wenn sie steuer- und beitragspflichtig sind.</t>
  </si>
  <si>
    <t>Ist-Entgelt (Brutto):</t>
  </si>
  <si>
    <t>Istentgelt ist das im jeweiligen Kalendermonat (Anspruchszeitraum) erzielte beitragspflichtige Bruttoarbeitsentgelt einschließlich der Entgelte für Mehrarbeit. Einmalig gezahlte Arbeitsentgelte bleiben außer Betracht.</t>
  </si>
  <si>
    <t>Beitragsbemessungsgrenze RV alte BL:</t>
  </si>
  <si>
    <t>Beim Kurzarbeitergeld erfolgt eine Berücksichtigung der Beitragsbemessungsgrenze als rechnerische Größe.</t>
  </si>
  <si>
    <t>Beitragsbemessungsgrenze RV neue BL:</t>
  </si>
  <si>
    <t>Leistungssatz Kug für Soll-Entgelt</t>
  </si>
  <si>
    <t>Leistungssatz Kug für Ist-Entgelt</t>
  </si>
  <si>
    <t>Kurzarbeitergeld:</t>
  </si>
  <si>
    <t>Nach © 2007-2010 A.Liebig - www.lohn-info.de</t>
  </si>
  <si>
    <t>I/IV</t>
  </si>
  <si>
    <t>II</t>
  </si>
  <si>
    <t>III</t>
  </si>
  <si>
    <t>V</t>
  </si>
  <si>
    <t>VI</t>
  </si>
  <si>
    <t>ja</t>
  </si>
  <si>
    <t>nein</t>
  </si>
  <si>
    <t>Spalte:</t>
  </si>
  <si>
    <t>und mehr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</si>
</sst>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0.00_ ;\-0.00\ "/>
    <numFmt numFmtId="166" formatCode="0.00000_ ;\-0.00000\ "/>
    <numFmt numFmtId="167" formatCode="0.00000"/>
    <numFmt numFmtId="168" formatCode="_-* #,##0.00\ [$€-1]_-;\-* #,##0.00\ [$€-1]_-;_-* \-??\ [$€-1]_-"/>
    <numFmt numFmtId="169" formatCode="0.0"/>
    <numFmt numFmtId="170" formatCode="#,##0.00_ ;\-#,##0.00\ "/>
  </numFmts>
  <fonts count="59">
    <font>
      <sz val="10"/>
      <name val="Arial"/>
      <family val="0"/>
    </font>
    <font>
      <b/>
      <sz val="10"/>
      <name val="Arial"/>
      <family val="2"/>
    </font>
    <font>
      <b/>
      <sz val="10"/>
      <color indexed="10"/>
      <name val="Arial"/>
      <family val="2"/>
    </font>
    <font>
      <b/>
      <u val="single"/>
      <sz val="12"/>
      <name val="Arial"/>
      <family val="2"/>
    </font>
    <font>
      <b/>
      <sz val="11"/>
      <color indexed="8"/>
      <name val="Arial"/>
      <family val="2"/>
    </font>
    <font>
      <b/>
      <sz val="11"/>
      <name val="Arial"/>
      <family val="2"/>
    </font>
    <font>
      <b/>
      <sz val="10"/>
      <color indexed="8"/>
      <name val="Arial"/>
      <family val="2"/>
    </font>
    <font>
      <u val="single"/>
      <sz val="10"/>
      <color indexed="12"/>
      <name val="Arial"/>
      <family val="2"/>
    </font>
    <font>
      <sz val="10"/>
      <color indexed="8"/>
      <name val="Arial"/>
      <family val="2"/>
    </font>
    <font>
      <b/>
      <sz val="10"/>
      <color indexed="9"/>
      <name val="Arial"/>
      <family val="2"/>
    </font>
    <font>
      <sz val="10"/>
      <color indexed="9"/>
      <name val="Arial"/>
      <family val="2"/>
    </font>
    <font>
      <sz val="8"/>
      <name val="Arial"/>
      <family val="2"/>
    </font>
    <font>
      <sz val="10"/>
      <color indexed="12"/>
      <name val="Arial"/>
      <family val="2"/>
    </font>
    <font>
      <b/>
      <sz val="10"/>
      <color indexed="12"/>
      <name val="Arial"/>
      <family val="2"/>
    </font>
    <font>
      <sz val="10"/>
      <color indexed="17"/>
      <name val="Arial"/>
      <family val="2"/>
    </font>
    <font>
      <i/>
      <sz val="9"/>
      <name val="Arial"/>
      <family val="2"/>
    </font>
    <font>
      <sz val="10"/>
      <color indexed="58"/>
      <name val="Arial"/>
      <family val="2"/>
    </font>
    <font>
      <i/>
      <sz val="10"/>
      <name val="Arial"/>
      <family val="2"/>
    </font>
    <font>
      <sz val="10"/>
      <color indexed="10"/>
      <name val="Arial"/>
      <family val="2"/>
    </font>
    <font>
      <b/>
      <u val="single"/>
      <sz val="11"/>
      <color indexed="10"/>
      <name val="Arial"/>
      <family val="2"/>
    </font>
    <font>
      <sz val="11"/>
      <name val="Arial"/>
      <family val="2"/>
    </font>
    <font>
      <b/>
      <sz val="20"/>
      <name val="Arial"/>
      <family val="2"/>
    </font>
    <font>
      <b/>
      <sz val="10"/>
      <color indexed="17"/>
      <name val="Arial"/>
      <family val="2"/>
    </font>
    <font>
      <sz val="9"/>
      <name val="Arial"/>
      <family val="2"/>
    </font>
    <font>
      <b/>
      <sz val="16"/>
      <name val="Arial"/>
      <family val="2"/>
    </font>
    <font>
      <sz val="16"/>
      <name val="Arial"/>
      <family val="2"/>
    </font>
    <font>
      <u val="single"/>
      <sz val="10"/>
      <name val="Arial"/>
      <family val="2"/>
    </font>
    <font>
      <sz val="8"/>
      <color indexed="8"/>
      <name val="Tahoma"/>
      <family val="2"/>
    </font>
    <font>
      <b/>
      <sz val="8"/>
      <color indexed="8"/>
      <name val="Tahoma"/>
      <family val="2"/>
    </font>
    <font>
      <b/>
      <sz val="8"/>
      <color indexed="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0">
    <xf numFmtId="0" fontId="0" fillId="0" borderId="0" xfId="0" applyAlignment="1">
      <alignment/>
    </xf>
    <xf numFmtId="0" fontId="1" fillId="33" borderId="0" xfId="0" applyFont="1" applyFill="1" applyAlignment="1" applyProtection="1">
      <alignment/>
      <protection hidden="1"/>
    </xf>
    <xf numFmtId="0" fontId="0" fillId="0" borderId="0" xfId="0" applyFill="1" applyAlignment="1" applyProtection="1">
      <alignment/>
      <protection hidden="1"/>
    </xf>
    <xf numFmtId="164" fontId="0" fillId="0" borderId="0" xfId="0" applyNumberFormat="1" applyFill="1" applyAlignment="1" applyProtection="1">
      <alignment/>
      <protection locked="0"/>
    </xf>
    <xf numFmtId="0" fontId="0" fillId="0" borderId="0" xfId="0" applyFill="1" applyAlignment="1" applyProtection="1">
      <alignment/>
      <protection locked="0"/>
    </xf>
    <xf numFmtId="1" fontId="0" fillId="0" borderId="0" xfId="0" applyNumberFormat="1" applyFill="1" applyAlignment="1" applyProtection="1">
      <alignment/>
      <protection hidden="1"/>
    </xf>
    <xf numFmtId="164" fontId="0" fillId="0" borderId="0" xfId="0" applyNumberFormat="1" applyFill="1" applyAlignment="1" applyProtection="1">
      <alignment/>
      <protection hidden="1"/>
    </xf>
    <xf numFmtId="164" fontId="0" fillId="0" borderId="0" xfId="0" applyNumberFormat="1" applyFill="1" applyAlignment="1" applyProtection="1">
      <alignment horizontal="right"/>
      <protection hidden="1"/>
    </xf>
    <xf numFmtId="165" fontId="0" fillId="0" borderId="0" xfId="0" applyNumberFormat="1" applyFill="1" applyAlignment="1" applyProtection="1">
      <alignment horizontal="right"/>
      <protection hidden="1"/>
    </xf>
    <xf numFmtId="166" fontId="0" fillId="0" borderId="0" xfId="0" applyNumberFormat="1" applyFill="1" applyAlignment="1" applyProtection="1">
      <alignment horizontal="right"/>
      <protection hidden="1"/>
    </xf>
    <xf numFmtId="0" fontId="1" fillId="34" borderId="0" xfId="0" applyFont="1" applyFill="1" applyAlignment="1" applyProtection="1">
      <alignment/>
      <protection hidden="1"/>
    </xf>
    <xf numFmtId="0" fontId="0" fillId="34" borderId="0" xfId="0" applyFill="1" applyAlignment="1" applyProtection="1">
      <alignment/>
      <protection hidden="1"/>
    </xf>
    <xf numFmtId="0" fontId="0" fillId="0" borderId="0" xfId="0" applyFont="1" applyFill="1" applyAlignment="1" applyProtection="1">
      <alignment/>
      <protection hidden="1"/>
    </xf>
    <xf numFmtId="2" fontId="0" fillId="0" borderId="0" xfId="0" applyNumberFormat="1" applyFill="1" applyAlignment="1" applyProtection="1">
      <alignment/>
      <protection hidden="1"/>
    </xf>
    <xf numFmtId="0" fontId="2" fillId="0" borderId="0" xfId="0" applyFont="1" applyFill="1" applyAlignment="1" applyProtection="1">
      <alignment/>
      <protection hidden="1"/>
    </xf>
    <xf numFmtId="2" fontId="0" fillId="34" borderId="0" xfId="0" applyNumberFormat="1" applyFill="1" applyAlignment="1" applyProtection="1">
      <alignment/>
      <protection hidden="1"/>
    </xf>
    <xf numFmtId="167" fontId="0" fillId="0" borderId="0" xfId="0" applyNumberFormat="1" applyFill="1" applyAlignment="1" applyProtection="1">
      <alignment/>
      <protection hidden="1"/>
    </xf>
    <xf numFmtId="0" fontId="1" fillId="0" borderId="0" xfId="0" applyFont="1" applyFill="1" applyAlignment="1" applyProtection="1">
      <alignment/>
      <protection hidden="1"/>
    </xf>
    <xf numFmtId="0" fontId="3" fillId="0" borderId="10" xfId="0" applyFont="1" applyFill="1" applyBorder="1" applyAlignment="1" applyProtection="1">
      <alignment/>
      <protection/>
    </xf>
    <xf numFmtId="0" fontId="4" fillId="0" borderId="11" xfId="0" applyFont="1" applyFill="1" applyBorder="1" applyAlignment="1" applyProtection="1">
      <alignment/>
      <protection/>
    </xf>
    <xf numFmtId="0" fontId="0" fillId="0" borderId="0" xfId="0" applyFill="1" applyAlignment="1" applyProtection="1">
      <alignment horizontal="center"/>
      <protection/>
    </xf>
    <xf numFmtId="0" fontId="1" fillId="0" borderId="11"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0" fillId="35" borderId="13" xfId="0" applyFill="1" applyBorder="1" applyAlignment="1">
      <alignment/>
    </xf>
    <xf numFmtId="0" fontId="1" fillId="0" borderId="0" xfId="0" applyFont="1" applyAlignment="1">
      <alignment/>
    </xf>
    <xf numFmtId="0" fontId="5" fillId="36" borderId="10" xfId="0" applyFont="1" applyFill="1" applyBorder="1" applyAlignment="1">
      <alignment/>
    </xf>
    <xf numFmtId="0" fontId="4" fillId="36" borderId="11" xfId="0" applyFont="1" applyFill="1" applyBorder="1" applyAlignment="1" applyProtection="1">
      <alignment/>
      <protection locked="0"/>
    </xf>
    <xf numFmtId="0" fontId="0" fillId="0" borderId="0" xfId="0" applyFont="1" applyAlignment="1">
      <alignment horizontal="center"/>
    </xf>
    <xf numFmtId="0" fontId="1" fillId="0" borderId="11" xfId="0" applyFont="1" applyBorder="1" applyAlignment="1" applyProtection="1">
      <alignment horizontal="center"/>
      <protection/>
    </xf>
    <xf numFmtId="0" fontId="0" fillId="0" borderId="0" xfId="0" applyFont="1" applyAlignment="1" applyProtection="1">
      <alignment horizontal="center"/>
      <protection/>
    </xf>
    <xf numFmtId="0" fontId="1" fillId="35" borderId="14" xfId="0" applyFont="1" applyFill="1" applyBorder="1" applyAlignment="1">
      <alignment horizontal="center"/>
    </xf>
    <xf numFmtId="0" fontId="1" fillId="36" borderId="10" xfId="0" applyFont="1" applyFill="1" applyBorder="1" applyAlignment="1">
      <alignment horizontal="center"/>
    </xf>
    <xf numFmtId="0" fontId="6" fillId="36" borderId="11" xfId="0" applyFont="1" applyFill="1" applyBorder="1" applyAlignment="1" applyProtection="1">
      <alignment/>
      <protection locked="0"/>
    </xf>
    <xf numFmtId="0" fontId="0" fillId="0" borderId="11" xfId="0" applyBorder="1" applyAlignment="1" applyProtection="1">
      <alignment/>
      <protection locked="0"/>
    </xf>
    <xf numFmtId="0" fontId="7" fillId="33" borderId="0" xfId="47" applyNumberFormat="1" applyFont="1" applyFill="1" applyBorder="1" applyAlignment="1" applyProtection="1">
      <alignment horizontal="center"/>
      <protection/>
    </xf>
    <xf numFmtId="0" fontId="7" fillId="33" borderId="0" xfId="47" applyNumberFormat="1" applyFont="1" applyFill="1" applyBorder="1" applyAlignment="1" applyProtection="1">
      <alignment/>
      <protection/>
    </xf>
    <xf numFmtId="0" fontId="7" fillId="33" borderId="0" xfId="47" applyNumberFormat="1" applyFill="1" applyBorder="1" applyAlignment="1" applyProtection="1">
      <alignment horizontal="left"/>
      <protection/>
    </xf>
    <xf numFmtId="0" fontId="1" fillId="0" borderId="10" xfId="0" applyFont="1" applyFill="1" applyBorder="1" applyAlignment="1">
      <alignment horizontal="right"/>
    </xf>
    <xf numFmtId="2" fontId="8" fillId="0" borderId="11" xfId="0" applyNumberFormat="1" applyFont="1" applyFill="1" applyBorder="1" applyAlignment="1" applyProtection="1">
      <alignment/>
      <protection/>
    </xf>
    <xf numFmtId="0" fontId="0" fillId="0" borderId="11" xfId="0" applyBorder="1" applyAlignment="1">
      <alignment/>
    </xf>
    <xf numFmtId="0" fontId="0" fillId="0" borderId="10" xfId="0" applyFont="1" applyFill="1" applyBorder="1" applyAlignment="1">
      <alignment/>
    </xf>
    <xf numFmtId="2" fontId="0" fillId="0" borderId="11" xfId="0" applyNumberFormat="1" applyFont="1" applyFill="1" applyBorder="1" applyAlignment="1">
      <alignment wrapText="1"/>
    </xf>
    <xf numFmtId="0" fontId="0" fillId="0" borderId="0" xfId="0" applyFont="1" applyFill="1" applyBorder="1" applyAlignment="1">
      <alignment horizontal="center"/>
    </xf>
    <xf numFmtId="2" fontId="0" fillId="0" borderId="11" xfId="0" applyNumberFormat="1" applyFont="1" applyFill="1" applyBorder="1" applyAlignment="1" applyProtection="1">
      <alignment wrapText="1"/>
      <protection/>
    </xf>
    <xf numFmtId="0" fontId="0" fillId="0" borderId="0" xfId="0" applyFont="1" applyFill="1" applyBorder="1" applyAlignment="1" applyProtection="1">
      <alignment horizontal="center"/>
      <protection/>
    </xf>
    <xf numFmtId="0" fontId="9" fillId="37" borderId="15" xfId="0" applyFont="1" applyFill="1" applyBorder="1" applyAlignment="1">
      <alignment horizontal="center"/>
    </xf>
    <xf numFmtId="0" fontId="10" fillId="37" borderId="0" xfId="0" applyFont="1" applyFill="1" applyBorder="1" applyAlignment="1">
      <alignment/>
    </xf>
    <xf numFmtId="0" fontId="0" fillId="0" borderId="10" xfId="0" applyFont="1" applyBorder="1" applyAlignment="1">
      <alignment/>
    </xf>
    <xf numFmtId="0" fontId="1" fillId="36" borderId="11" xfId="0" applyNumberFormat="1" applyFont="1" applyFill="1" applyBorder="1" applyAlignment="1" applyProtection="1">
      <alignment/>
      <protection locked="0"/>
    </xf>
    <xf numFmtId="0" fontId="0" fillId="0" borderId="11" xfId="0" applyNumberFormat="1" applyBorder="1" applyAlignment="1" applyProtection="1">
      <alignment/>
      <protection/>
    </xf>
    <xf numFmtId="0" fontId="10" fillId="38" borderId="16" xfId="0" applyFont="1" applyFill="1" applyBorder="1" applyAlignment="1">
      <alignment/>
    </xf>
    <xf numFmtId="0" fontId="0" fillId="0" borderId="0" xfId="0" applyFill="1" applyAlignment="1">
      <alignment/>
    </xf>
    <xf numFmtId="168" fontId="0" fillId="0" borderId="0" xfId="0" applyNumberFormat="1" applyAlignment="1">
      <alignment horizontal="center"/>
    </xf>
    <xf numFmtId="168" fontId="0" fillId="0" borderId="0" xfId="0" applyNumberFormat="1" applyAlignment="1" applyProtection="1">
      <alignment horizontal="center"/>
      <protection/>
    </xf>
    <xf numFmtId="0" fontId="0" fillId="38" borderId="16" xfId="0" applyFont="1" applyFill="1" applyBorder="1" applyAlignment="1">
      <alignment/>
    </xf>
    <xf numFmtId="0" fontId="0" fillId="35" borderId="16" xfId="0" applyFont="1" applyFill="1" applyBorder="1" applyAlignment="1">
      <alignment/>
    </xf>
    <xf numFmtId="0" fontId="0" fillId="35" borderId="0" xfId="0" applyFill="1" applyBorder="1" applyAlignment="1">
      <alignment/>
    </xf>
    <xf numFmtId="169" fontId="1" fillId="36" borderId="11" xfId="0" applyNumberFormat="1" applyFont="1" applyFill="1" applyBorder="1" applyAlignment="1" applyProtection="1">
      <alignment/>
      <protection locked="0"/>
    </xf>
    <xf numFmtId="169" fontId="0" fillId="0" borderId="11" xfId="0" applyNumberFormat="1" applyBorder="1" applyAlignment="1" applyProtection="1">
      <alignment/>
      <protection/>
    </xf>
    <xf numFmtId="0" fontId="11" fillId="0" borderId="10" xfId="0" applyFont="1" applyBorder="1" applyAlignment="1">
      <alignment wrapText="1"/>
    </xf>
    <xf numFmtId="0" fontId="2" fillId="35" borderId="16" xfId="0" applyFont="1" applyFill="1" applyBorder="1" applyAlignment="1">
      <alignment vertical="top"/>
    </xf>
    <xf numFmtId="2" fontId="1" fillId="36" borderId="11" xfId="0" applyNumberFormat="1" applyFont="1" applyFill="1" applyBorder="1" applyAlignment="1" applyProtection="1">
      <alignment/>
      <protection locked="0"/>
    </xf>
    <xf numFmtId="0" fontId="0" fillId="0" borderId="0" xfId="0" applyFont="1" applyBorder="1" applyAlignment="1">
      <alignment horizontal="center"/>
    </xf>
    <xf numFmtId="0" fontId="0" fillId="0" borderId="0" xfId="0" applyFont="1" applyBorder="1" applyAlignment="1" applyProtection="1">
      <alignment horizontal="center"/>
      <protection/>
    </xf>
    <xf numFmtId="0" fontId="12" fillId="34" borderId="16" xfId="0" applyFont="1" applyFill="1" applyBorder="1" applyAlignment="1">
      <alignment/>
    </xf>
    <xf numFmtId="0" fontId="12" fillId="34" borderId="0" xfId="0" applyFont="1" applyFill="1" applyBorder="1" applyAlignment="1">
      <alignment/>
    </xf>
    <xf numFmtId="0" fontId="0" fillId="0" borderId="17" xfId="0" applyFont="1" applyBorder="1" applyAlignment="1">
      <alignment/>
    </xf>
    <xf numFmtId="2" fontId="1" fillId="36" borderId="18" xfId="0" applyNumberFormat="1" applyFont="1" applyFill="1" applyBorder="1" applyAlignment="1" applyProtection="1">
      <alignment/>
      <protection locked="0"/>
    </xf>
    <xf numFmtId="0" fontId="0" fillId="0" borderId="19" xfId="0" applyFont="1" applyBorder="1" applyAlignment="1">
      <alignment horizontal="center"/>
    </xf>
    <xf numFmtId="0" fontId="0" fillId="0" borderId="19" xfId="0" applyFont="1" applyBorder="1" applyAlignment="1" applyProtection="1">
      <alignment horizontal="center"/>
      <protection/>
    </xf>
    <xf numFmtId="0" fontId="0" fillId="34" borderId="16" xfId="0" applyFont="1" applyFill="1" applyBorder="1" applyAlignment="1">
      <alignment/>
    </xf>
    <xf numFmtId="0" fontId="13" fillId="0" borderId="20" xfId="0" applyFont="1" applyFill="1" applyBorder="1" applyAlignment="1">
      <alignment/>
    </xf>
    <xf numFmtId="0" fontId="0" fillId="0" borderId="20" xfId="0" applyBorder="1" applyAlignment="1">
      <alignment/>
    </xf>
    <xf numFmtId="0" fontId="14" fillId="35" borderId="0" xfId="0" applyFont="1" applyFill="1" applyBorder="1" applyAlignment="1">
      <alignment/>
    </xf>
    <xf numFmtId="0" fontId="12" fillId="0" borderId="10" xfId="0" applyFont="1" applyBorder="1" applyAlignment="1">
      <alignment/>
    </xf>
    <xf numFmtId="170" fontId="0" fillId="0" borderId="10" xfId="58" applyNumberFormat="1" applyFont="1" applyFill="1" applyBorder="1" applyAlignment="1" applyProtection="1">
      <alignment/>
      <protection/>
    </xf>
    <xf numFmtId="0" fontId="1" fillId="35" borderId="16" xfId="47" applyNumberFormat="1" applyFont="1" applyFill="1" applyBorder="1" applyAlignment="1" applyProtection="1">
      <alignment horizontal="left"/>
      <protection/>
    </xf>
    <xf numFmtId="0" fontId="7" fillId="35" borderId="16" xfId="47" applyNumberFormat="1" applyFill="1" applyBorder="1" applyAlignment="1" applyProtection="1">
      <alignment/>
      <protection/>
    </xf>
    <xf numFmtId="0" fontId="12" fillId="35" borderId="0" xfId="0" applyFont="1" applyFill="1" applyBorder="1" applyAlignment="1">
      <alignment/>
    </xf>
    <xf numFmtId="0" fontId="0" fillId="0" borderId="0" xfId="0" applyBorder="1" applyAlignment="1">
      <alignment/>
    </xf>
    <xf numFmtId="0" fontId="12" fillId="0" borderId="21" xfId="0" applyFont="1" applyBorder="1" applyAlignment="1">
      <alignment/>
    </xf>
    <xf numFmtId="170" fontId="0" fillId="0" borderId="21" xfId="58" applyNumberFormat="1" applyFont="1" applyFill="1" applyBorder="1" applyAlignment="1" applyProtection="1">
      <alignment/>
      <protection/>
    </xf>
    <xf numFmtId="0" fontId="0" fillId="0" borderId="22" xfId="0" applyFont="1" applyBorder="1" applyAlignment="1">
      <alignment horizontal="center"/>
    </xf>
    <xf numFmtId="0" fontId="15" fillId="35" borderId="16" xfId="0" applyFont="1" applyFill="1" applyBorder="1" applyAlignment="1">
      <alignment/>
    </xf>
    <xf numFmtId="0" fontId="16" fillId="39" borderId="21" xfId="0" applyFont="1" applyFill="1" applyBorder="1" applyAlignment="1">
      <alignment/>
    </xf>
    <xf numFmtId="2" fontId="16" fillId="39" borderId="23" xfId="0" applyNumberFormat="1" applyFont="1" applyFill="1" applyBorder="1" applyAlignment="1">
      <alignment/>
    </xf>
    <xf numFmtId="0" fontId="16" fillId="39" borderId="22" xfId="0" applyFont="1" applyFill="1" applyBorder="1" applyAlignment="1">
      <alignment horizontal="center"/>
    </xf>
    <xf numFmtId="0" fontId="15" fillId="33" borderId="16" xfId="0" applyFont="1" applyFill="1" applyBorder="1" applyAlignment="1">
      <alignment/>
    </xf>
    <xf numFmtId="0" fontId="12" fillId="33" borderId="0" xfId="0" applyFont="1" applyFill="1" applyBorder="1" applyAlignment="1">
      <alignment/>
    </xf>
    <xf numFmtId="0" fontId="16" fillId="39" borderId="24" xfId="0" applyFont="1" applyFill="1" applyBorder="1" applyAlignment="1">
      <alignment/>
    </xf>
    <xf numFmtId="2" fontId="16" fillId="39" borderId="25" xfId="0" applyNumberFormat="1" applyFont="1" applyFill="1" applyBorder="1" applyAlignment="1">
      <alignment/>
    </xf>
    <xf numFmtId="0" fontId="16" fillId="39" borderId="26" xfId="0" applyFont="1" applyFill="1" applyBorder="1" applyAlignment="1">
      <alignment horizontal="center"/>
    </xf>
    <xf numFmtId="0" fontId="15" fillId="33" borderId="16" xfId="47" applyNumberFormat="1" applyFont="1" applyFill="1" applyBorder="1" applyAlignment="1" applyProtection="1">
      <alignment horizontal="left"/>
      <protection/>
    </xf>
    <xf numFmtId="0" fontId="15" fillId="33" borderId="16" xfId="47" applyNumberFormat="1" applyFont="1" applyFill="1" applyBorder="1" applyAlignment="1" applyProtection="1">
      <alignment/>
      <protection/>
    </xf>
    <xf numFmtId="0" fontId="17" fillId="35" borderId="16" xfId="0" applyFont="1" applyFill="1" applyBorder="1" applyAlignment="1">
      <alignment/>
    </xf>
    <xf numFmtId="0" fontId="0" fillId="0" borderId="21" xfId="0" applyFont="1" applyBorder="1" applyAlignment="1">
      <alignment/>
    </xf>
    <xf numFmtId="2" fontId="0" fillId="0" borderId="23" xfId="0" applyNumberFormat="1" applyBorder="1" applyAlignment="1">
      <alignment/>
    </xf>
    <xf numFmtId="0" fontId="7" fillId="35" borderId="16" xfId="47" applyNumberFormat="1" applyFill="1" applyBorder="1" applyAlignment="1" applyProtection="1">
      <alignment horizontal="center"/>
      <protection/>
    </xf>
    <xf numFmtId="0" fontId="2" fillId="0" borderId="27" xfId="0" applyFont="1" applyBorder="1" applyAlignment="1">
      <alignment/>
    </xf>
    <xf numFmtId="2" fontId="2" fillId="0" borderId="28" xfId="0" applyNumberFormat="1" applyFont="1" applyBorder="1" applyAlignment="1">
      <alignment/>
    </xf>
    <xf numFmtId="0" fontId="18" fillId="0" borderId="29" xfId="0" applyFont="1" applyBorder="1" applyAlignment="1">
      <alignment horizontal="center"/>
    </xf>
    <xf numFmtId="14" fontId="11" fillId="35" borderId="30" xfId="0" applyNumberFormat="1" applyFont="1" applyFill="1" applyBorder="1" applyAlignment="1">
      <alignment horizontal="right"/>
    </xf>
    <xf numFmtId="0" fontId="12" fillId="35" borderId="22" xfId="0" applyFont="1" applyFill="1" applyBorder="1" applyAlignment="1">
      <alignment/>
    </xf>
    <xf numFmtId="0" fontId="5" fillId="0" borderId="0" xfId="0" applyFont="1" applyAlignment="1">
      <alignment/>
    </xf>
    <xf numFmtId="2" fontId="19" fillId="0" borderId="0" xfId="0" applyNumberFormat="1" applyFont="1" applyAlignment="1">
      <alignment/>
    </xf>
    <xf numFmtId="0" fontId="20" fillId="0" borderId="0" xfId="0" applyFont="1" applyAlignment="1">
      <alignment/>
    </xf>
    <xf numFmtId="4" fontId="21" fillId="0" borderId="0" xfId="0" applyNumberFormat="1" applyFont="1" applyAlignment="1" applyProtection="1">
      <alignment/>
      <protection/>
    </xf>
    <xf numFmtId="4" fontId="0" fillId="0" borderId="0" xfId="0" applyNumberFormat="1" applyAlignment="1" applyProtection="1">
      <alignment/>
      <protection/>
    </xf>
    <xf numFmtId="4" fontId="22" fillId="0" borderId="0" xfId="0" applyNumberFormat="1" applyFont="1" applyAlignment="1" applyProtection="1">
      <alignment/>
      <protection/>
    </xf>
    <xf numFmtId="0" fontId="0" fillId="0" borderId="0" xfId="0" applyAlignment="1" applyProtection="1">
      <alignment/>
      <protection/>
    </xf>
    <xf numFmtId="4" fontId="0" fillId="0" borderId="0" xfId="0" applyNumberFormat="1" applyFont="1" applyAlignment="1" applyProtection="1">
      <alignment vertical="center"/>
      <protection/>
    </xf>
    <xf numFmtId="4" fontId="1" fillId="0" borderId="0" xfId="0" applyNumberFormat="1" applyFont="1" applyAlignment="1" applyProtection="1">
      <alignment vertical="center"/>
      <protection/>
    </xf>
    <xf numFmtId="4" fontId="1" fillId="40" borderId="25" xfId="0" applyNumberFormat="1" applyFont="1" applyFill="1" applyBorder="1" applyAlignment="1" applyProtection="1">
      <alignment vertical="center"/>
      <protection/>
    </xf>
    <xf numFmtId="4" fontId="0" fillId="0" borderId="0" xfId="0" applyNumberFormat="1" applyAlignment="1">
      <alignment/>
    </xf>
    <xf numFmtId="4" fontId="1" fillId="0" borderId="0" xfId="0" applyNumberFormat="1" applyFont="1" applyAlignment="1" applyProtection="1">
      <alignment/>
      <protection/>
    </xf>
    <xf numFmtId="4" fontId="0" fillId="0" borderId="0" xfId="0" applyNumberFormat="1" applyAlignment="1" applyProtection="1">
      <alignment horizontal="center"/>
      <protection/>
    </xf>
    <xf numFmtId="4" fontId="1" fillId="0" borderId="25" xfId="0" applyNumberFormat="1" applyFont="1" applyBorder="1" applyAlignment="1" applyProtection="1">
      <alignment/>
      <protection/>
    </xf>
    <xf numFmtId="4" fontId="1" fillId="0" borderId="0" xfId="0" applyNumberFormat="1" applyFont="1" applyBorder="1" applyAlignment="1" applyProtection="1">
      <alignment horizontal="right"/>
      <protection/>
    </xf>
    <xf numFmtId="0" fontId="0" fillId="0" borderId="0" xfId="0" applyNumberFormat="1" applyBorder="1" applyAlignment="1" applyProtection="1">
      <alignment horizontal="center"/>
      <protection/>
    </xf>
    <xf numFmtId="4" fontId="1" fillId="33" borderId="25" xfId="0" applyNumberFormat="1" applyFont="1" applyFill="1" applyBorder="1" applyAlignment="1" applyProtection="1">
      <alignment/>
      <protection/>
    </xf>
    <xf numFmtId="4" fontId="2" fillId="0" borderId="0" xfId="0" applyNumberFormat="1" applyFont="1" applyAlignment="1" applyProtection="1">
      <alignment/>
      <protection/>
    </xf>
    <xf numFmtId="4" fontId="24" fillId="0" borderId="0" xfId="0" applyNumberFormat="1" applyFont="1" applyAlignment="1" applyProtection="1">
      <alignment/>
      <protection/>
    </xf>
    <xf numFmtId="4" fontId="25" fillId="0" borderId="0" xfId="0" applyNumberFormat="1" applyFont="1" applyAlignment="1" applyProtection="1">
      <alignment/>
      <protection/>
    </xf>
    <xf numFmtId="4" fontId="24" fillId="33" borderId="25" xfId="0" applyNumberFormat="1" applyFont="1" applyFill="1" applyBorder="1" applyAlignment="1" applyProtection="1">
      <alignment/>
      <protection/>
    </xf>
    <xf numFmtId="4" fontId="26" fillId="0" borderId="0" xfId="47" applyNumberFormat="1" applyFont="1" applyFill="1" applyBorder="1" applyAlignment="1" applyProtection="1">
      <alignment/>
      <protection/>
    </xf>
    <xf numFmtId="4" fontId="1" fillId="41" borderId="31" xfId="0" applyNumberFormat="1" applyFont="1" applyFill="1" applyBorder="1" applyAlignment="1">
      <alignment horizontal="center"/>
    </xf>
    <xf numFmtId="4" fontId="1" fillId="33" borderId="31" xfId="0" applyNumberFormat="1" applyFont="1" applyFill="1" applyBorder="1" applyAlignment="1">
      <alignment horizontal="center"/>
    </xf>
    <xf numFmtId="4" fontId="0" fillId="0" borderId="25" xfId="0" applyNumberFormat="1" applyFill="1" applyBorder="1" applyAlignment="1" applyProtection="1">
      <alignment/>
      <protection/>
    </xf>
    <xf numFmtId="4" fontId="0" fillId="0" borderId="25" xfId="0" applyNumberFormat="1" applyBorder="1" applyAlignment="1" applyProtection="1">
      <alignment/>
      <protection/>
    </xf>
    <xf numFmtId="4" fontId="0" fillId="0" borderId="25" xfId="0" applyNumberFormat="1" applyBorder="1" applyAlignment="1">
      <alignment/>
    </xf>
    <xf numFmtId="4" fontId="1" fillId="0" borderId="25" xfId="0" applyNumberFormat="1" applyFont="1" applyBorder="1" applyAlignment="1">
      <alignment horizontal="center"/>
    </xf>
    <xf numFmtId="4" fontId="1" fillId="0" borderId="25" xfId="0" applyNumberFormat="1" applyFont="1" applyBorder="1" applyAlignment="1">
      <alignment horizontal="right"/>
    </xf>
    <xf numFmtId="0" fontId="0" fillId="0" borderId="25" xfId="0" applyNumberFormat="1" applyBorder="1" applyAlignment="1">
      <alignment horizontal="center"/>
    </xf>
    <xf numFmtId="4" fontId="1" fillId="0" borderId="0" xfId="0" applyNumberFormat="1" applyFont="1" applyAlignment="1">
      <alignment horizontal="right"/>
    </xf>
    <xf numFmtId="0" fontId="1" fillId="33" borderId="25" xfId="0" applyNumberFormat="1" applyFont="1" applyFill="1" applyBorder="1" applyAlignment="1" applyProtection="1">
      <alignment horizontal="center"/>
      <protection/>
    </xf>
    <xf numFmtId="3" fontId="1" fillId="41" borderId="25" xfId="0" applyNumberFormat="1" applyFont="1" applyFill="1" applyBorder="1" applyAlignment="1">
      <alignment horizontal="center"/>
    </xf>
    <xf numFmtId="3" fontId="1" fillId="33" borderId="25" xfId="0" applyNumberFormat="1" applyFont="1" applyFill="1" applyBorder="1" applyAlignment="1">
      <alignment horizontal="center"/>
    </xf>
    <xf numFmtId="4" fontId="23" fillId="0" borderId="32" xfId="0" applyNumberFormat="1" applyFont="1" applyBorder="1" applyAlignment="1" applyProtection="1">
      <alignment vertical="center" wrapText="1"/>
      <protection/>
    </xf>
    <xf numFmtId="4" fontId="0" fillId="0" borderId="32" xfId="0" applyNumberFormat="1" applyFont="1" applyBorder="1" applyAlignment="1" applyProtection="1">
      <alignment horizontal="left" vertical="center" wrapText="1" indent="1"/>
      <protection/>
    </xf>
    <xf numFmtId="4" fontId="2" fillId="0" borderId="32" xfId="0" applyNumberFormat="1" applyFont="1" applyBorder="1" applyAlignment="1" applyProtection="1">
      <alignment horizontal="left" vertical="center" wrapText="1" indent="1"/>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4">
    <dxf>
      <font>
        <b/>
        <i val="0"/>
        <color indexed="10"/>
      </font>
    </dxf>
    <dxf>
      <font>
        <b/>
        <i val="0"/>
        <color indexed="10"/>
      </font>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361"/>
  <sheetViews>
    <sheetView tabSelected="1" zoomScalePageLayoutView="0" workbookViewId="0" topLeftCell="A1">
      <selection activeCell="B2" sqref="B2"/>
    </sheetView>
  </sheetViews>
  <sheetFormatPr defaultColWidth="11.421875" defaultRowHeight="12.75"/>
  <cols>
    <col min="1" max="1" width="47.00390625" style="0" customWidth="1"/>
    <col min="2" max="2" width="8.7109375" style="0" customWidth="1"/>
    <col min="3" max="3" width="6.7109375" style="0" customWidth="1"/>
    <col min="4" max="4" width="0" style="0" hidden="1" customWidth="1"/>
    <col min="5" max="5" width="9.421875" style="0" customWidth="1"/>
    <col min="6" max="6" width="8.140625" style="0" customWidth="1"/>
    <col min="7" max="7" width="0" style="0" hidden="1" customWidth="1"/>
    <col min="8" max="8" width="60.8515625" style="0" customWidth="1"/>
    <col min="9" max="9" width="0" style="0" hidden="1" customWidth="1"/>
    <col min="10" max="10" width="57.421875" style="0" customWidth="1"/>
  </cols>
  <sheetData>
    <row r="1" spans="1:14" ht="21" customHeight="1">
      <c r="A1" s="18" t="s">
        <v>63</v>
      </c>
      <c r="B1" s="19"/>
      <c r="C1" s="20"/>
      <c r="D1" s="20"/>
      <c r="E1" s="21"/>
      <c r="F1" s="20"/>
      <c r="G1" s="20"/>
      <c r="H1" s="22"/>
      <c r="I1" s="23"/>
      <c r="M1" s="24" t="s">
        <v>64</v>
      </c>
      <c r="N1" s="24" t="str">
        <f>IF(B8=1,"I/IV",IF(B8=2,"II",IF(B8=3,"III",IF(B8=4,"I/IV",IF(B8=5,"V","VI")))))</f>
        <v>I/IV</v>
      </c>
    </row>
    <row r="2" spans="1:9" ht="21" customHeight="1">
      <c r="A2" s="25" t="s">
        <v>65</v>
      </c>
      <c r="B2" s="26">
        <v>2500</v>
      </c>
      <c r="C2" s="27" t="s">
        <v>66</v>
      </c>
      <c r="D2" s="27"/>
      <c r="E2" s="28" t="s">
        <v>67</v>
      </c>
      <c r="F2" s="29" t="s">
        <v>66</v>
      </c>
      <c r="G2" s="29"/>
      <c r="H2" s="30"/>
      <c r="I2" s="23"/>
    </row>
    <row r="3" spans="1:9" ht="12.75">
      <c r="A3" s="31" t="s">
        <v>68</v>
      </c>
      <c r="B3" s="32">
        <v>20</v>
      </c>
      <c r="C3" s="27"/>
      <c r="D3" s="27"/>
      <c r="E3" s="33"/>
      <c r="F3" s="27"/>
      <c r="G3" s="27"/>
      <c r="H3" s="34" t="s">
        <v>69</v>
      </c>
      <c r="I3" s="35"/>
    </row>
    <row r="4" spans="1:9" ht="12.75">
      <c r="A4" s="31" t="s">
        <v>70</v>
      </c>
      <c r="B4" s="32">
        <v>3</v>
      </c>
      <c r="C4" s="27"/>
      <c r="D4" s="27"/>
      <c r="E4" s="33"/>
      <c r="F4" s="27"/>
      <c r="G4" s="27"/>
      <c r="H4" s="34" t="s">
        <v>71</v>
      </c>
      <c r="I4" s="36"/>
    </row>
    <row r="5" spans="1:9" ht="12.75">
      <c r="A5" s="37" t="s">
        <v>72</v>
      </c>
      <c r="B5" s="38">
        <f>ROUND(D51,2)</f>
        <v>120.25</v>
      </c>
      <c r="C5" s="27"/>
      <c r="D5" s="27"/>
      <c r="E5" s="39"/>
      <c r="F5" s="27"/>
      <c r="G5" s="27"/>
      <c r="H5" s="35"/>
      <c r="I5" s="35"/>
    </row>
    <row r="6" spans="1:9" ht="12.75">
      <c r="A6" s="40" t="s">
        <v>73</v>
      </c>
      <c r="B6" s="41">
        <f>ROUND(B2/B3*(B3-B4),2)</f>
        <v>2125</v>
      </c>
      <c r="C6" s="42" t="s">
        <v>66</v>
      </c>
      <c r="D6" s="42"/>
      <c r="E6" s="43">
        <f>B2</f>
        <v>2500</v>
      </c>
      <c r="F6" s="44" t="s">
        <v>66</v>
      </c>
      <c r="G6" s="44"/>
      <c r="H6" s="45" t="s">
        <v>74</v>
      </c>
      <c r="I6" s="46"/>
    </row>
    <row r="7" spans="1:12" ht="12.75">
      <c r="A7" s="47" t="s">
        <v>75</v>
      </c>
      <c r="B7" s="48">
        <v>2</v>
      </c>
      <c r="C7" s="27"/>
      <c r="D7" s="27"/>
      <c r="E7" s="49">
        <f aca="true" t="shared" si="0" ref="E7:E18">B7</f>
        <v>2</v>
      </c>
      <c r="F7" s="29"/>
      <c r="G7" s="29"/>
      <c r="H7" s="50"/>
      <c r="I7" s="46"/>
      <c r="L7" s="51"/>
    </row>
    <row r="8" spans="1:8" ht="12.75">
      <c r="A8" s="47" t="s">
        <v>76</v>
      </c>
      <c r="B8" s="48">
        <v>1</v>
      </c>
      <c r="C8" s="52"/>
      <c r="D8" s="52"/>
      <c r="E8" s="49">
        <f t="shared" si="0"/>
        <v>1</v>
      </c>
      <c r="F8" s="53"/>
      <c r="G8" s="53"/>
      <c r="H8" s="54"/>
    </row>
    <row r="9" spans="1:9" ht="12.75" hidden="1">
      <c r="A9" s="47" t="s">
        <v>77</v>
      </c>
      <c r="B9" s="48">
        <v>0</v>
      </c>
      <c r="C9" s="27"/>
      <c r="D9" s="27"/>
      <c r="E9" s="49">
        <f t="shared" si="0"/>
        <v>0</v>
      </c>
      <c r="F9" s="29"/>
      <c r="G9" s="29"/>
      <c r="H9" s="55"/>
      <c r="I9" s="56"/>
    </row>
    <row r="10" spans="1:9" ht="12.75">
      <c r="A10" s="47" t="s">
        <v>78</v>
      </c>
      <c r="B10" s="48">
        <v>0</v>
      </c>
      <c r="C10" s="27"/>
      <c r="D10" s="27"/>
      <c r="E10" s="49">
        <f t="shared" si="0"/>
        <v>0</v>
      </c>
      <c r="F10" s="29"/>
      <c r="G10" s="29"/>
      <c r="H10" s="55" t="s">
        <v>79</v>
      </c>
      <c r="I10" s="56"/>
    </row>
    <row r="11" spans="1:9" ht="12.75">
      <c r="A11" s="47" t="s">
        <v>80</v>
      </c>
      <c r="B11" s="48">
        <v>0</v>
      </c>
      <c r="C11" s="27" t="s">
        <v>81</v>
      </c>
      <c r="D11" s="27"/>
      <c r="E11" s="49">
        <f t="shared" si="0"/>
        <v>0</v>
      </c>
      <c r="F11" s="29" t="s">
        <v>81</v>
      </c>
      <c r="G11" s="29"/>
      <c r="H11" s="55" t="s">
        <v>82</v>
      </c>
      <c r="I11" s="56"/>
    </row>
    <row r="12" spans="1:9" ht="12.75">
      <c r="A12" s="47" t="s">
        <v>83</v>
      </c>
      <c r="B12" s="57">
        <v>14</v>
      </c>
      <c r="C12" s="27" t="s">
        <v>84</v>
      </c>
      <c r="D12" s="27"/>
      <c r="E12" s="58">
        <f t="shared" si="0"/>
        <v>14</v>
      </c>
      <c r="F12" s="29" t="s">
        <v>81</v>
      </c>
      <c r="G12" s="29"/>
      <c r="H12" s="55" t="s">
        <v>85</v>
      </c>
      <c r="I12" s="56"/>
    </row>
    <row r="13" spans="1:9" ht="12.75">
      <c r="A13" s="47" t="s">
        <v>86</v>
      </c>
      <c r="B13" s="48">
        <v>1</v>
      </c>
      <c r="C13" s="27"/>
      <c r="D13" s="27"/>
      <c r="E13" s="58">
        <f t="shared" si="0"/>
        <v>1</v>
      </c>
      <c r="F13" s="29"/>
      <c r="G13" s="29"/>
      <c r="H13" s="55" t="s">
        <v>87</v>
      </c>
      <c r="I13" s="56"/>
    </row>
    <row r="14" spans="1:9" ht="12.75">
      <c r="A14" s="47" t="s">
        <v>88</v>
      </c>
      <c r="B14" s="48">
        <v>0</v>
      </c>
      <c r="C14" s="27"/>
      <c r="D14" s="27"/>
      <c r="E14" s="58">
        <f t="shared" si="0"/>
        <v>0</v>
      </c>
      <c r="F14" s="29"/>
      <c r="G14" s="29"/>
      <c r="H14" s="55" t="s">
        <v>89</v>
      </c>
      <c r="I14" s="56"/>
    </row>
    <row r="15" spans="1:9" ht="12.75">
      <c r="A15" s="47" t="s">
        <v>90</v>
      </c>
      <c r="B15" s="48">
        <v>0</v>
      </c>
      <c r="C15" s="27"/>
      <c r="D15" s="27"/>
      <c r="E15" s="58">
        <f t="shared" si="0"/>
        <v>0</v>
      </c>
      <c r="F15" s="29"/>
      <c r="G15" s="29"/>
      <c r="H15" s="55" t="s">
        <v>91</v>
      </c>
      <c r="I15" s="56"/>
    </row>
    <row r="16" spans="1:9" ht="22.5">
      <c r="A16" s="59" t="s">
        <v>92</v>
      </c>
      <c r="B16" s="48">
        <v>0</v>
      </c>
      <c r="C16" s="27"/>
      <c r="D16" s="27"/>
      <c r="E16" s="58">
        <f t="shared" si="0"/>
        <v>0</v>
      </c>
      <c r="F16" s="29"/>
      <c r="G16" s="29"/>
      <c r="H16" s="60" t="s">
        <v>93</v>
      </c>
      <c r="I16" s="56"/>
    </row>
    <row r="17" spans="1:9" ht="12.75">
      <c r="A17" s="40" t="s">
        <v>94</v>
      </c>
      <c r="B17" s="61">
        <v>0</v>
      </c>
      <c r="C17" s="62" t="s">
        <v>66</v>
      </c>
      <c r="D17" s="62"/>
      <c r="E17" s="58">
        <f t="shared" si="0"/>
        <v>0</v>
      </c>
      <c r="F17" s="63" t="s">
        <v>66</v>
      </c>
      <c r="G17" s="63"/>
      <c r="H17" s="64" t="s">
        <v>95</v>
      </c>
      <c r="I17" s="65"/>
    </row>
    <row r="18" spans="1:9" ht="13.5" thickBot="1">
      <c r="A18" s="66" t="s">
        <v>96</v>
      </c>
      <c r="B18" s="67">
        <v>0</v>
      </c>
      <c r="C18" s="68" t="s">
        <v>66</v>
      </c>
      <c r="D18" s="68"/>
      <c r="E18" s="58">
        <f t="shared" si="0"/>
        <v>0</v>
      </c>
      <c r="F18" s="69" t="s">
        <v>66</v>
      </c>
      <c r="G18" s="69"/>
      <c r="H18" s="70" t="s">
        <v>97</v>
      </c>
      <c r="I18" s="65"/>
    </row>
    <row r="19" spans="1:9" ht="12.75">
      <c r="A19" s="71"/>
      <c r="B19" s="72"/>
      <c r="C19" s="62"/>
      <c r="D19" s="62"/>
      <c r="E19" s="72"/>
      <c r="F19" s="62"/>
      <c r="G19" s="62"/>
      <c r="H19" s="55"/>
      <c r="I19" s="73"/>
    </row>
    <row r="20" spans="1:9" ht="12.75">
      <c r="A20" s="74" t="s">
        <v>98</v>
      </c>
      <c r="B20" s="75">
        <f>Berechnung!B71/100</f>
        <v>254.08</v>
      </c>
      <c r="C20" s="27" t="s">
        <v>66</v>
      </c>
      <c r="D20" s="27"/>
      <c r="E20" s="75">
        <f>Berechnung!E71/100</f>
        <v>347.08</v>
      </c>
      <c r="F20" s="27" t="s">
        <v>66</v>
      </c>
      <c r="G20" s="27"/>
      <c r="H20" s="76"/>
      <c r="I20" s="73"/>
    </row>
    <row r="21" spans="1:11" ht="12.75">
      <c r="A21" s="74" t="s">
        <v>99</v>
      </c>
      <c r="B21" s="75">
        <f>Berechnung!B87/100</f>
        <v>13.97</v>
      </c>
      <c r="C21" s="27" t="s">
        <v>66</v>
      </c>
      <c r="D21" s="27"/>
      <c r="E21" s="75">
        <f>Berechnung!E87/100</f>
        <v>19.08</v>
      </c>
      <c r="F21" s="27" t="s">
        <v>66</v>
      </c>
      <c r="G21" s="27"/>
      <c r="H21" s="77"/>
      <c r="I21" s="78"/>
      <c r="K21" s="79"/>
    </row>
    <row r="22" spans="1:9" ht="12.75">
      <c r="A22" s="80" t="s">
        <v>100</v>
      </c>
      <c r="B22" s="81">
        <f>ROUNDDOWN(Berechnung!B91*B11/10000,2)</f>
        <v>0</v>
      </c>
      <c r="C22" s="82" t="s">
        <v>66</v>
      </c>
      <c r="D22" s="82"/>
      <c r="E22" s="81">
        <f>ROUNDDOWN(Berechnung!E91*E11/10000,2)</f>
        <v>0</v>
      </c>
      <c r="F22" s="82" t="s">
        <v>66</v>
      </c>
      <c r="G22" s="82"/>
      <c r="H22" s="83"/>
      <c r="I22" s="78"/>
    </row>
    <row r="23" spans="1:9" ht="12.75">
      <c r="A23" s="84" t="s">
        <v>101</v>
      </c>
      <c r="B23" s="85">
        <f>IF(B9=0,ROUND(IF(B7=1,IF(B6&gt;IF(B14=1,55800,66000),IF(B14=1,55800,66000),B6),IF(B7=2,IF(B6&gt;IF(B14=1,4650,5500),IF(B14=1,4650,5500),B6),IF(B7=3,IF(B6&gt;IF(B14=1,1085,1283.33),IF(B14=1,1085,1283.33),B6),IF(B6&gt;IF(B14=1,155,183.33),IF(B14=1,155,183.33),B6))))*0.0995,2),0)</f>
        <v>211.44</v>
      </c>
      <c r="C23" s="86" t="s">
        <v>66</v>
      </c>
      <c r="D23" s="86"/>
      <c r="E23" s="85">
        <f>IF(E9=0,ROUND(IF(E7=1,IF(E6&gt;IF(E14=1,55800,66000),IF(E14=1,55800,66000),E6),IF(E7=2,IF(E6&gt;IF(E14=1,4650,5500),IF(E14=1,4650,5500),E6),IF(E7=3,IF(E6&gt;IF(E14=1,1085,1283.33),IF(E14=1,1085,1283.33),E6),IF(E6&gt;IF(E14=1,155,183.33),IF(E14=1,155,183.33),E6))))*0.0995,2),0)</f>
        <v>248.75</v>
      </c>
      <c r="F23" s="86" t="s">
        <v>66</v>
      </c>
      <c r="G23" s="86"/>
      <c r="H23" s="87" t="s">
        <v>102</v>
      </c>
      <c r="I23" s="88"/>
    </row>
    <row r="24" spans="1:9" ht="12.75">
      <c r="A24" s="89" t="s">
        <v>103</v>
      </c>
      <c r="B24" s="90">
        <f>IF(B12=0,0,IF(B9=0,ROUND(IF(B7=1,IF(B6&gt;45000,45000,B6),IF(B7=2,IF(B6&gt;3750,3750,B6),IF(B7=3,IF(B6&gt;875.5,875.5,B6),IF(B6&gt;125,125,B6))))*(B12/200+0.009),2),0))</f>
        <v>167.88</v>
      </c>
      <c r="C24" s="91" t="s">
        <v>66</v>
      </c>
      <c r="D24" s="91"/>
      <c r="E24" s="90">
        <f>IF(E12=0,0,IF(E9=0,ROUND(IF(E7=1,IF(E6&gt;45000,45000,E6),IF(E7=2,IF(E6&gt;3750,3750,E6),IF(E7=3,IF(E6&gt;875.5,875.5,E6),IF(E6&gt;125,125,E6))))*(E12/200+0.009),2),0))</f>
        <v>197.5</v>
      </c>
      <c r="F24" s="91" t="s">
        <v>66</v>
      </c>
      <c r="G24" s="91"/>
      <c r="H24" s="92" t="s">
        <v>104</v>
      </c>
      <c r="I24" s="88"/>
    </row>
    <row r="25" spans="1:9" ht="12.75">
      <c r="A25" s="89" t="s">
        <v>105</v>
      </c>
      <c r="B25" s="90">
        <f>IF(B12=0,0,IF(B9=0,IF(B7=1,IF(B6&gt;45000,45000,B6),IF(B7=2,IF(B6&gt;3750,3750,B6),IF(B7=3,IF(B6&gt;875,875,B6),IF(B6&gt;125,125,B6)))),0))*(IF(B15=0,0.00975,0.01475)+IF(AND(B13=1,B10=0),0.0025,0))</f>
        <v>26.03125</v>
      </c>
      <c r="C25" s="91" t="s">
        <v>66</v>
      </c>
      <c r="D25" s="91"/>
      <c r="E25" s="90">
        <f>IF(E12=0,0,IF(E9=0,IF(E7=1,IF(E6&gt;45000,45000,E6),IF(E7=2,IF(E6&gt;3750,3750,E6),IF(E7=3,IF(E6&gt;875,875,E6),IF(E6&gt;125,125,E6)))),0))*(IF(E15=0,0.00975,0.01475)+IF(AND(E13=1,E10=0),0.0025,0))</f>
        <v>30.625</v>
      </c>
      <c r="F25" s="91" t="s">
        <v>66</v>
      </c>
      <c r="G25" s="91"/>
      <c r="H25" s="92" t="s">
        <v>106</v>
      </c>
      <c r="I25" s="88"/>
    </row>
    <row r="26" spans="1:9" ht="12.75">
      <c r="A26" s="89" t="s">
        <v>107</v>
      </c>
      <c r="B26" s="90">
        <f>IF(B9=0,ROUND(IF(B7=1,IF(B6&gt;IF(B14=1,55800,66000),IF(B14=1,55800,66000),B6),IF(B7=2,IF(B6&gt;IF(B14=1,4650,5500),IF(B14=1,4650,5500),B6),IF(B7=3,IF(B6&gt;IF(B14=1,1085,1283.33),IF(B14=1,1085,1283.33),B6),IF(B6&gt;IF(B14=1,155,183.33),IF(B14=1,155,183.33),B6))))*0.014,2),0)</f>
        <v>29.75</v>
      </c>
      <c r="C26" s="91" t="s">
        <v>66</v>
      </c>
      <c r="D26" s="91"/>
      <c r="E26" s="90">
        <f>IF(E9=0,ROUND(IF(E7=1,IF(E6&gt;IF(E14=1,55800,66000),IF(E14=1,55800,66000),E6),IF(E7=2,IF(E6&gt;IF(E14=1,4650,5500),IF(E14=1,4650,5500),E6),IF(E7=3,IF(E6&gt;IF(E14=1,1085,1283.33),IF(E14=1,1085,1283.33),E6),IF(E6&gt;IF(E14=1,155,183.33),IF(E14=1,155,183.33),E6))))*0.014,2),0)</f>
        <v>35</v>
      </c>
      <c r="F26" s="91" t="s">
        <v>66</v>
      </c>
      <c r="G26" s="91"/>
      <c r="H26" s="93"/>
      <c r="I26" s="88"/>
    </row>
    <row r="27" spans="1:9" ht="12.75">
      <c r="A27" s="47"/>
      <c r="B27" s="39"/>
      <c r="C27" s="27"/>
      <c r="D27" s="27"/>
      <c r="E27" s="39"/>
      <c r="F27" s="27"/>
      <c r="G27" s="27"/>
      <c r="H27" s="94"/>
      <c r="I27" s="78"/>
    </row>
    <row r="28" spans="1:9" ht="12.75">
      <c r="A28" s="95" t="s">
        <v>108</v>
      </c>
      <c r="B28" s="96">
        <f>SUM(B20:B26)</f>
        <v>703.15125</v>
      </c>
      <c r="C28" s="82" t="s">
        <v>66</v>
      </c>
      <c r="D28" s="82"/>
      <c r="E28" s="96">
        <f>SUM(E20:E26)</f>
        <v>878.035</v>
      </c>
      <c r="F28" s="82" t="s">
        <v>66</v>
      </c>
      <c r="G28" s="82"/>
      <c r="H28" s="97"/>
      <c r="I28" s="78"/>
    </row>
    <row r="29" spans="1:9" ht="13.5" thickBot="1">
      <c r="A29" s="98" t="s">
        <v>109</v>
      </c>
      <c r="B29" s="99">
        <f>B6-B28</f>
        <v>1421.84875</v>
      </c>
      <c r="C29" s="100" t="s">
        <v>66</v>
      </c>
      <c r="D29" s="100"/>
      <c r="E29" s="99">
        <f>E6-E28</f>
        <v>1621.9650000000001</v>
      </c>
      <c r="F29" s="100" t="s">
        <v>66</v>
      </c>
      <c r="G29" s="100"/>
      <c r="H29" s="101">
        <v>40227</v>
      </c>
      <c r="I29" s="102"/>
    </row>
    <row r="30" spans="1:10" s="105" customFormat="1" ht="15">
      <c r="A30" s="103" t="s">
        <v>110</v>
      </c>
      <c r="B30" s="104">
        <f>E29-B29-B5</f>
        <v>79.86625000000004</v>
      </c>
      <c r="J30"/>
    </row>
    <row r="33" ht="12.75" hidden="1"/>
    <row r="34" ht="12.75" hidden="1"/>
    <row r="35" ht="12.75" hidden="1"/>
    <row r="36" ht="12.75" hidden="1"/>
    <row r="37" ht="12.75" hidden="1"/>
    <row r="38" ht="12.75" hidden="1"/>
    <row r="39" ht="12.75" hidden="1"/>
    <row r="40" spans="1:16" ht="26.25" hidden="1">
      <c r="A40" s="106" t="s">
        <v>111</v>
      </c>
      <c r="B40" s="107"/>
      <c r="C40" s="107"/>
      <c r="D40" s="107"/>
      <c r="E40" s="108"/>
      <c r="F40" s="107"/>
      <c r="G40" s="107"/>
      <c r="H40" s="107"/>
      <c r="I40" s="107"/>
      <c r="J40" s="107"/>
      <c r="K40" s="107"/>
      <c r="L40" s="107"/>
      <c r="M40" s="109"/>
      <c r="N40" s="109"/>
      <c r="O40" s="109"/>
      <c r="P40" s="109"/>
    </row>
    <row r="41" spans="1:16" ht="12.75" hidden="1">
      <c r="A41" s="110" t="s">
        <v>112</v>
      </c>
      <c r="B41" s="110"/>
      <c r="C41" s="110"/>
      <c r="D41" s="110"/>
      <c r="E41" s="110"/>
      <c r="F41" s="110"/>
      <c r="G41" s="110"/>
      <c r="H41" s="110"/>
      <c r="I41" s="110"/>
      <c r="J41" s="110"/>
      <c r="K41" s="107"/>
      <c r="L41" s="107"/>
      <c r="M41" s="109"/>
      <c r="N41" s="109"/>
      <c r="O41" s="109"/>
      <c r="P41" s="109"/>
    </row>
    <row r="42" spans="1:16" ht="12.75" customHeight="1" hidden="1">
      <c r="A42" s="111" t="s">
        <v>113</v>
      </c>
      <c r="B42" s="111"/>
      <c r="C42" s="112">
        <f>B2</f>
        <v>2500</v>
      </c>
      <c r="D42" s="137" t="s">
        <v>114</v>
      </c>
      <c r="E42" s="137"/>
      <c r="F42" s="137"/>
      <c r="G42" s="137"/>
      <c r="H42" s="137"/>
      <c r="I42" s="137"/>
      <c r="J42" s="137"/>
      <c r="K42" s="107"/>
      <c r="L42" s="107"/>
      <c r="M42" s="109"/>
      <c r="N42" s="109"/>
      <c r="O42" s="109"/>
      <c r="P42" s="109"/>
    </row>
    <row r="43" spans="1:16" ht="12.75" customHeight="1" hidden="1">
      <c r="A43" s="111" t="s">
        <v>115</v>
      </c>
      <c r="B43" s="111"/>
      <c r="C43" s="112">
        <f>B6</f>
        <v>2125</v>
      </c>
      <c r="D43" s="137" t="s">
        <v>116</v>
      </c>
      <c r="E43" s="137"/>
      <c r="F43" s="137"/>
      <c r="G43" s="137"/>
      <c r="H43" s="137"/>
      <c r="I43" s="137"/>
      <c r="J43" s="137"/>
      <c r="K43" s="107"/>
      <c r="L43" s="107"/>
      <c r="M43" s="109"/>
      <c r="N43" s="109"/>
      <c r="O43" s="109"/>
      <c r="P43" s="109"/>
    </row>
    <row r="44" spans="1:12" ht="12.75" hidden="1">
      <c r="A44" s="113"/>
      <c r="B44" s="113"/>
      <c r="C44" s="113"/>
      <c r="D44" s="113"/>
      <c r="E44" s="113"/>
      <c r="F44" s="113"/>
      <c r="G44" s="113"/>
      <c r="H44" s="113"/>
      <c r="I44" s="113"/>
      <c r="J44" s="113"/>
      <c r="K44" s="113"/>
      <c r="L44" s="113"/>
    </row>
    <row r="45" spans="1:12" ht="12.75" customHeight="1" hidden="1">
      <c r="A45" s="114" t="s">
        <v>117</v>
      </c>
      <c r="B45" s="107"/>
      <c r="C45" s="115"/>
      <c r="D45" s="116">
        <v>5400</v>
      </c>
      <c r="E45" s="138" t="s">
        <v>118</v>
      </c>
      <c r="F45" s="138"/>
      <c r="G45" s="138"/>
      <c r="H45" s="138"/>
      <c r="I45" s="138"/>
      <c r="J45" s="138"/>
      <c r="K45" s="113"/>
      <c r="L45" s="113"/>
    </row>
    <row r="46" spans="1:12" ht="12.75" hidden="1">
      <c r="A46" s="114" t="s">
        <v>119</v>
      </c>
      <c r="B46" s="107"/>
      <c r="C46" s="107"/>
      <c r="D46" s="116">
        <v>4550</v>
      </c>
      <c r="E46" s="138"/>
      <c r="F46" s="138"/>
      <c r="G46" s="138"/>
      <c r="H46" s="138"/>
      <c r="I46" s="138"/>
      <c r="J46" s="138"/>
      <c r="K46" s="113"/>
      <c r="L46" s="113"/>
    </row>
    <row r="47" spans="1:12" ht="12.75" hidden="1">
      <c r="A47" s="114"/>
      <c r="B47" s="107"/>
      <c r="C47" s="107"/>
      <c r="D47" s="107"/>
      <c r="E47" s="107"/>
      <c r="F47" s="109"/>
      <c r="G47" s="107"/>
      <c r="H47" s="117"/>
      <c r="I47" s="118"/>
      <c r="J47" s="118"/>
      <c r="K47" s="113"/>
      <c r="L47" s="113"/>
    </row>
    <row r="48" spans="1:12" ht="12.75" hidden="1">
      <c r="A48" s="114" t="s">
        <v>120</v>
      </c>
      <c r="B48" s="107"/>
      <c r="C48" s="107"/>
      <c r="D48" s="119">
        <f>IF(C42&lt;=325,"Gilt nicht für Geringverdiener!",IF(C43&gt;=C42,"",VLOOKUP(IF(AND(B14&gt;0,C42&gt;D46),D46,C42),A63:L333,O71)))</f>
        <v>964.14</v>
      </c>
      <c r="E48" s="120">
        <f>IF(C42&lt;C43,"Soll-Entgelt muss größer als Ist-Entgelt sein","")</f>
      </c>
      <c r="F48" s="107"/>
      <c r="G48" s="107"/>
      <c r="H48" s="117"/>
      <c r="I48" s="118"/>
      <c r="J48" s="118"/>
      <c r="K48" s="113"/>
      <c r="L48" s="113"/>
    </row>
    <row r="49" spans="1:12" ht="12.75" hidden="1">
      <c r="A49" s="114" t="s">
        <v>121</v>
      </c>
      <c r="B49" s="107"/>
      <c r="C49" s="107"/>
      <c r="D49" s="119">
        <f>IF(OR(C43&gt;=D45,AND(B14&gt;0,C43&gt;=D46)),"",IF(C43&gt;=C42,"",VLOOKUP(C43,A63:L333,O71)))</f>
        <v>843.89</v>
      </c>
      <c r="E49" s="120">
        <f>IF(C42=C43,"Kein Ausfall, da Soll-Entgelt = Ist-Entgelt","")</f>
      </c>
      <c r="F49" s="107"/>
      <c r="G49" s="107"/>
      <c r="H49" s="117"/>
      <c r="I49" s="118"/>
      <c r="J49" s="118"/>
      <c r="K49" s="113"/>
      <c r="L49" s="113"/>
    </row>
    <row r="50" spans="1:12" ht="12.75" hidden="1">
      <c r="A50" s="107"/>
      <c r="B50" s="107"/>
      <c r="C50" s="107"/>
      <c r="D50" s="107"/>
      <c r="E50" s="107"/>
      <c r="F50" s="107"/>
      <c r="G50" s="107"/>
      <c r="H50" s="117"/>
      <c r="I50" s="118"/>
      <c r="J50" s="118"/>
      <c r="K50" s="113"/>
      <c r="L50" s="113"/>
    </row>
    <row r="51" spans="1:12" ht="12.75" customHeight="1" hidden="1">
      <c r="A51" s="121" t="s">
        <v>122</v>
      </c>
      <c r="B51" s="122"/>
      <c r="C51" s="122"/>
      <c r="D51" s="123">
        <f>IF(OR(D48="",D49=""),"",D48-D49)</f>
        <v>120.25</v>
      </c>
      <c r="E51" s="139">
        <f>IF(AND(B14=0,C42&gt;D45),"Beitragsbemessungsgrenze Rentenversicherung alte Bundesländer berücksichtigt!",IF(AND(B14&gt;0,C42&gt;D46),"Beitragsbemessungsgrenze Rentenversicherung neue Bundesländer berücksichtigt!",""))</f>
      </c>
      <c r="F51" s="139"/>
      <c r="G51" s="139"/>
      <c r="H51" s="139"/>
      <c r="I51" s="139"/>
      <c r="J51" s="139"/>
      <c r="K51" s="113"/>
      <c r="L51" s="113"/>
    </row>
    <row r="52" spans="1:12" ht="12.75" hidden="1">
      <c r="A52" s="114"/>
      <c r="B52" s="107"/>
      <c r="C52" s="107"/>
      <c r="D52" s="107"/>
      <c r="E52" s="107"/>
      <c r="F52" s="107"/>
      <c r="G52" s="107"/>
      <c r="H52" s="117"/>
      <c r="I52" s="118"/>
      <c r="J52" s="118"/>
      <c r="K52" s="113"/>
      <c r="L52" s="113"/>
    </row>
    <row r="53" spans="1:12" ht="12.75" hidden="1">
      <c r="A53" s="124" t="s">
        <v>123</v>
      </c>
      <c r="B53" s="107"/>
      <c r="C53" s="107"/>
      <c r="D53" s="107"/>
      <c r="E53" s="107"/>
      <c r="F53" s="107"/>
      <c r="G53" s="107"/>
      <c r="H53" s="117"/>
      <c r="I53" s="118"/>
      <c r="J53" s="118"/>
      <c r="K53" s="113"/>
      <c r="L53" s="113"/>
    </row>
    <row r="54" spans="1:12" ht="12.75" hidden="1">
      <c r="A54" s="113"/>
      <c r="B54" s="113"/>
      <c r="C54" s="113"/>
      <c r="D54" s="113"/>
      <c r="E54" s="113"/>
      <c r="F54" s="113"/>
      <c r="G54" s="113"/>
      <c r="H54" s="113"/>
      <c r="I54" s="113"/>
      <c r="J54" s="113"/>
      <c r="K54" s="113"/>
      <c r="L54" s="113"/>
    </row>
    <row r="55" spans="1:12" ht="12.75" hidden="1">
      <c r="A55" s="113"/>
      <c r="B55" s="113"/>
      <c r="C55" s="113"/>
      <c r="D55" s="113"/>
      <c r="E55" s="113"/>
      <c r="F55" s="113"/>
      <c r="G55" s="113"/>
      <c r="H55" s="113"/>
      <c r="I55" s="113"/>
      <c r="J55" s="113"/>
      <c r="K55" s="113"/>
      <c r="L55" s="113"/>
    </row>
    <row r="56" spans="1:12" ht="12.75" hidden="1">
      <c r="A56" s="113"/>
      <c r="B56" s="113"/>
      <c r="C56" s="113"/>
      <c r="D56" s="113"/>
      <c r="E56" s="113"/>
      <c r="F56" s="113"/>
      <c r="G56" s="113"/>
      <c r="H56" s="113"/>
      <c r="I56" s="113"/>
      <c r="J56" s="113"/>
      <c r="K56" s="113"/>
      <c r="L56" s="113"/>
    </row>
    <row r="57" spans="1:12" ht="12.75" hidden="1">
      <c r="A57" s="113"/>
      <c r="B57" s="113"/>
      <c r="C57" s="113"/>
      <c r="D57" s="113"/>
      <c r="E57" s="113"/>
      <c r="F57" s="113"/>
      <c r="G57" s="113"/>
      <c r="H57" s="113"/>
      <c r="I57" s="113"/>
      <c r="J57" s="113"/>
      <c r="K57" s="113"/>
      <c r="L57" s="113"/>
    </row>
    <row r="58" spans="1:12" ht="12.75" hidden="1">
      <c r="A58" s="113"/>
      <c r="B58" s="113"/>
      <c r="C58" s="113"/>
      <c r="D58" s="113"/>
      <c r="E58" s="113"/>
      <c r="F58" s="113"/>
      <c r="G58" s="113"/>
      <c r="H58" s="113"/>
      <c r="I58" s="113"/>
      <c r="J58" s="113"/>
      <c r="K58" s="113"/>
      <c r="L58" s="113"/>
    </row>
    <row r="59" spans="1:12" ht="12.75" hidden="1">
      <c r="A59" s="113"/>
      <c r="B59" s="113"/>
      <c r="C59" s="113"/>
      <c r="D59" s="113"/>
      <c r="E59" s="113"/>
      <c r="F59" s="113"/>
      <c r="G59" s="113"/>
      <c r="H59" s="113"/>
      <c r="I59" s="113"/>
      <c r="J59" s="113"/>
      <c r="K59" s="113"/>
      <c r="L59" s="113"/>
    </row>
    <row r="60" spans="1:12" ht="12.75" hidden="1">
      <c r="A60" s="113"/>
      <c r="B60" s="113"/>
      <c r="C60" s="113"/>
      <c r="D60" s="113"/>
      <c r="E60" s="113"/>
      <c r="F60" s="113"/>
      <c r="G60" s="113"/>
      <c r="H60" s="113"/>
      <c r="I60" s="113"/>
      <c r="J60" s="113"/>
      <c r="K60" s="113"/>
      <c r="L60" s="113"/>
    </row>
    <row r="61" spans="1:12" ht="12.75" hidden="1">
      <c r="A61" s="113"/>
      <c r="B61" s="113"/>
      <c r="C61" s="135">
        <v>1</v>
      </c>
      <c r="D61" s="135"/>
      <c r="E61" s="135"/>
      <c r="F61" s="135"/>
      <c r="G61" s="135"/>
      <c r="H61" s="136">
        <v>2</v>
      </c>
      <c r="I61" s="136"/>
      <c r="J61" s="136"/>
      <c r="K61" s="136"/>
      <c r="L61" s="136"/>
    </row>
    <row r="62" spans="1:12" ht="12.75" hidden="1">
      <c r="A62" s="113"/>
      <c r="B62" s="113"/>
      <c r="C62" s="125" t="s">
        <v>124</v>
      </c>
      <c r="D62" s="125" t="s">
        <v>125</v>
      </c>
      <c r="E62" s="125" t="s">
        <v>126</v>
      </c>
      <c r="F62" s="125" t="s">
        <v>127</v>
      </c>
      <c r="G62" s="125" t="s">
        <v>128</v>
      </c>
      <c r="H62" s="126" t="s">
        <v>124</v>
      </c>
      <c r="I62" s="126" t="s">
        <v>125</v>
      </c>
      <c r="J62" s="126" t="s">
        <v>126</v>
      </c>
      <c r="K62" s="126" t="s">
        <v>127</v>
      </c>
      <c r="L62" s="126" t="s">
        <v>128</v>
      </c>
    </row>
    <row r="63" spans="1:12" ht="12.75" hidden="1">
      <c r="A63" s="127">
        <v>0</v>
      </c>
      <c r="B63" s="127">
        <v>9.99</v>
      </c>
      <c r="C63" s="128">
        <v>0</v>
      </c>
      <c r="D63" s="128">
        <v>0</v>
      </c>
      <c r="E63" s="128">
        <v>0</v>
      </c>
      <c r="F63" s="128">
        <v>0</v>
      </c>
      <c r="G63" s="128">
        <v>0</v>
      </c>
      <c r="H63" s="128">
        <v>0</v>
      </c>
      <c r="I63" s="128">
        <v>0</v>
      </c>
      <c r="J63" s="128">
        <v>0</v>
      </c>
      <c r="K63" s="128">
        <v>0</v>
      </c>
      <c r="L63" s="128">
        <v>0</v>
      </c>
    </row>
    <row r="64" spans="1:16" ht="12.75" hidden="1">
      <c r="A64" s="129">
        <v>10</v>
      </c>
      <c r="B64" s="129">
        <v>29.99</v>
      </c>
      <c r="C64" s="129">
        <v>10.59</v>
      </c>
      <c r="D64" s="129">
        <v>10.59</v>
      </c>
      <c r="E64" s="129">
        <v>10.59</v>
      </c>
      <c r="F64" s="129">
        <v>10.59</v>
      </c>
      <c r="G64" s="129">
        <v>9.02</v>
      </c>
      <c r="H64" s="129">
        <v>9.48</v>
      </c>
      <c r="I64" s="129">
        <v>9.48</v>
      </c>
      <c r="J64" s="129">
        <v>9.48</v>
      </c>
      <c r="K64" s="129">
        <v>9.48</v>
      </c>
      <c r="L64" s="129">
        <v>8.08</v>
      </c>
      <c r="N64" s="129"/>
      <c r="O64" s="130" t="s">
        <v>129</v>
      </c>
      <c r="P64" s="130" t="s">
        <v>130</v>
      </c>
    </row>
    <row r="65" spans="1:16" ht="12.75" hidden="1">
      <c r="A65" s="129">
        <v>30</v>
      </c>
      <c r="B65" s="129">
        <v>49.99</v>
      </c>
      <c r="C65" s="129">
        <v>21.17</v>
      </c>
      <c r="D65" s="129">
        <v>21.17</v>
      </c>
      <c r="E65" s="129">
        <v>21.17</v>
      </c>
      <c r="F65" s="129">
        <v>21.17</v>
      </c>
      <c r="G65" s="129">
        <v>18.05</v>
      </c>
      <c r="H65" s="129">
        <v>18.96</v>
      </c>
      <c r="I65" s="129">
        <v>18.96</v>
      </c>
      <c r="J65" s="129">
        <v>18.96</v>
      </c>
      <c r="K65" s="129">
        <v>18.96</v>
      </c>
      <c r="L65" s="129">
        <v>16.16</v>
      </c>
      <c r="N65" s="131" t="s">
        <v>124</v>
      </c>
      <c r="O65" s="132">
        <v>3</v>
      </c>
      <c r="P65" s="132">
        <v>8</v>
      </c>
    </row>
    <row r="66" spans="1:16" ht="12.75" hidden="1">
      <c r="A66" s="129">
        <v>50</v>
      </c>
      <c r="B66" s="129">
        <v>69.99</v>
      </c>
      <c r="C66" s="129">
        <v>31.76</v>
      </c>
      <c r="D66" s="129">
        <v>31.76</v>
      </c>
      <c r="E66" s="129">
        <v>31.76</v>
      </c>
      <c r="F66" s="129">
        <v>31.76</v>
      </c>
      <c r="G66" s="129">
        <v>27.07</v>
      </c>
      <c r="H66" s="129">
        <v>28.44</v>
      </c>
      <c r="I66" s="129">
        <v>28.44</v>
      </c>
      <c r="J66" s="129">
        <v>28.44</v>
      </c>
      <c r="K66" s="129">
        <v>28.44</v>
      </c>
      <c r="L66" s="129">
        <v>24.24</v>
      </c>
      <c r="N66" s="131" t="s">
        <v>125</v>
      </c>
      <c r="O66" s="132">
        <v>4</v>
      </c>
      <c r="P66" s="132">
        <v>9</v>
      </c>
    </row>
    <row r="67" spans="1:16" ht="12.75" hidden="1">
      <c r="A67" s="129">
        <v>70</v>
      </c>
      <c r="B67" s="129">
        <v>89.99</v>
      </c>
      <c r="C67" s="129">
        <v>42.34</v>
      </c>
      <c r="D67" s="129">
        <v>42.34</v>
      </c>
      <c r="E67" s="129">
        <v>42.34</v>
      </c>
      <c r="F67" s="129">
        <v>42.34</v>
      </c>
      <c r="G67" s="129">
        <v>36.09</v>
      </c>
      <c r="H67" s="129">
        <v>37.92</v>
      </c>
      <c r="I67" s="129">
        <v>37.92</v>
      </c>
      <c r="J67" s="129">
        <v>37.92</v>
      </c>
      <c r="K67" s="129">
        <v>37.92</v>
      </c>
      <c r="L67" s="129">
        <v>32.32</v>
      </c>
      <c r="N67" s="131" t="s">
        <v>126</v>
      </c>
      <c r="O67" s="132">
        <v>5</v>
      </c>
      <c r="P67" s="132">
        <v>10</v>
      </c>
    </row>
    <row r="68" spans="1:16" ht="12.75" hidden="1">
      <c r="A68" s="129">
        <v>90</v>
      </c>
      <c r="B68" s="129">
        <v>109.99</v>
      </c>
      <c r="C68" s="129">
        <v>52.93</v>
      </c>
      <c r="D68" s="129">
        <v>52.93</v>
      </c>
      <c r="E68" s="129">
        <v>52.93</v>
      </c>
      <c r="F68" s="129">
        <v>52.54</v>
      </c>
      <c r="G68" s="129">
        <v>45.06</v>
      </c>
      <c r="H68" s="129">
        <v>47.4</v>
      </c>
      <c r="I68" s="129">
        <v>47.4</v>
      </c>
      <c r="J68" s="129">
        <v>47.4</v>
      </c>
      <c r="K68" s="129">
        <v>47.05</v>
      </c>
      <c r="L68" s="129">
        <v>40.35</v>
      </c>
      <c r="N68" s="131" t="s">
        <v>127</v>
      </c>
      <c r="O68" s="132">
        <v>6</v>
      </c>
      <c r="P68" s="132">
        <v>11</v>
      </c>
    </row>
    <row r="69" spans="1:16" ht="12.75" hidden="1">
      <c r="A69" s="129">
        <v>110</v>
      </c>
      <c r="B69" s="129">
        <v>129.99</v>
      </c>
      <c r="C69" s="129">
        <v>63.52</v>
      </c>
      <c r="D69" s="129">
        <v>63.52</v>
      </c>
      <c r="E69" s="129">
        <v>63.52</v>
      </c>
      <c r="F69" s="129">
        <v>61.57</v>
      </c>
      <c r="G69" s="129">
        <v>54.08</v>
      </c>
      <c r="H69" s="129">
        <v>56.88</v>
      </c>
      <c r="I69" s="129">
        <v>56.88</v>
      </c>
      <c r="J69" s="129">
        <v>56.88</v>
      </c>
      <c r="K69" s="129">
        <v>55.13</v>
      </c>
      <c r="L69" s="129">
        <v>48.43</v>
      </c>
      <c r="N69" s="131" t="s">
        <v>128</v>
      </c>
      <c r="O69" s="132">
        <v>7</v>
      </c>
      <c r="P69" s="132">
        <v>12</v>
      </c>
    </row>
    <row r="70" spans="1:12" ht="12.75" hidden="1">
      <c r="A70" s="129">
        <v>130</v>
      </c>
      <c r="B70" s="129">
        <v>149.99</v>
      </c>
      <c r="C70" s="129">
        <v>74.1</v>
      </c>
      <c r="D70" s="129">
        <v>74.1</v>
      </c>
      <c r="E70" s="129">
        <v>74.1</v>
      </c>
      <c r="F70" s="129">
        <v>70.58</v>
      </c>
      <c r="G70" s="129">
        <v>63.11</v>
      </c>
      <c r="H70" s="129">
        <v>66.36</v>
      </c>
      <c r="I70" s="129">
        <v>66.36</v>
      </c>
      <c r="J70" s="129">
        <v>66.36</v>
      </c>
      <c r="K70" s="129">
        <v>63.21</v>
      </c>
      <c r="L70" s="129">
        <v>56.51</v>
      </c>
    </row>
    <row r="71" spans="1:15" ht="12.75" hidden="1">
      <c r="A71" s="129">
        <v>150</v>
      </c>
      <c r="B71" s="129">
        <v>169.99</v>
      </c>
      <c r="C71" s="129">
        <v>84.69</v>
      </c>
      <c r="D71" s="129">
        <v>84.69</v>
      </c>
      <c r="E71" s="129">
        <v>84.69</v>
      </c>
      <c r="F71" s="129">
        <v>79.61</v>
      </c>
      <c r="G71" s="129">
        <v>72.13</v>
      </c>
      <c r="H71" s="129">
        <v>75.84</v>
      </c>
      <c r="I71" s="129">
        <v>75.84</v>
      </c>
      <c r="J71" s="129">
        <v>75.84</v>
      </c>
      <c r="K71" s="129">
        <v>71.29</v>
      </c>
      <c r="L71" s="129">
        <v>64.59</v>
      </c>
      <c r="N71" s="133" t="s">
        <v>131</v>
      </c>
      <c r="O71" s="134">
        <f>VLOOKUP(N1,N65:P69,IF(B10&gt;0,2,3))</f>
        <v>8</v>
      </c>
    </row>
    <row r="72" spans="1:12" ht="12.75" hidden="1">
      <c r="A72" s="129">
        <v>170</v>
      </c>
      <c r="B72" s="129">
        <v>189.99</v>
      </c>
      <c r="C72" s="129">
        <v>95.27</v>
      </c>
      <c r="D72" s="129">
        <v>95.27</v>
      </c>
      <c r="E72" s="129">
        <v>95.27</v>
      </c>
      <c r="F72" s="129">
        <v>88.57</v>
      </c>
      <c r="G72" s="129">
        <v>81.15</v>
      </c>
      <c r="H72" s="129">
        <v>85.32</v>
      </c>
      <c r="I72" s="129">
        <v>85.32</v>
      </c>
      <c r="J72" s="129">
        <v>85.32</v>
      </c>
      <c r="K72" s="129">
        <v>79.32</v>
      </c>
      <c r="L72" s="129">
        <v>72.67</v>
      </c>
    </row>
    <row r="73" spans="1:12" ht="12.75" hidden="1">
      <c r="A73" s="129">
        <v>190</v>
      </c>
      <c r="B73" s="129">
        <v>209.99</v>
      </c>
      <c r="C73" s="129">
        <v>105.86</v>
      </c>
      <c r="D73" s="129">
        <v>105.86</v>
      </c>
      <c r="E73" s="129">
        <v>105.86</v>
      </c>
      <c r="F73" s="129">
        <v>97.6</v>
      </c>
      <c r="G73" s="129">
        <v>90.12</v>
      </c>
      <c r="H73" s="129">
        <v>94.8</v>
      </c>
      <c r="I73" s="129">
        <v>94.8</v>
      </c>
      <c r="J73" s="129">
        <v>94.8</v>
      </c>
      <c r="K73" s="129">
        <v>87.4</v>
      </c>
      <c r="L73" s="129">
        <v>80.7</v>
      </c>
    </row>
    <row r="74" spans="1:12" ht="12.75" hidden="1">
      <c r="A74" s="129">
        <v>210</v>
      </c>
      <c r="B74" s="129">
        <v>229.99</v>
      </c>
      <c r="C74" s="129">
        <v>116.45</v>
      </c>
      <c r="D74" s="129">
        <v>116.45</v>
      </c>
      <c r="E74" s="129">
        <v>116.45</v>
      </c>
      <c r="F74" s="129">
        <v>106.62</v>
      </c>
      <c r="G74" s="129">
        <v>99.14</v>
      </c>
      <c r="H74" s="129">
        <v>104.28</v>
      </c>
      <c r="I74" s="129">
        <v>104.28</v>
      </c>
      <c r="J74" s="129">
        <v>104.28</v>
      </c>
      <c r="K74" s="129">
        <v>95.48</v>
      </c>
      <c r="L74" s="129">
        <v>88.78</v>
      </c>
    </row>
    <row r="75" spans="1:12" ht="12.75" hidden="1">
      <c r="A75" s="129">
        <v>230</v>
      </c>
      <c r="B75" s="129">
        <v>249.99</v>
      </c>
      <c r="C75" s="129">
        <v>127.03</v>
      </c>
      <c r="D75" s="129">
        <v>127.03</v>
      </c>
      <c r="E75" s="129">
        <v>127.03</v>
      </c>
      <c r="F75" s="129">
        <v>115.64</v>
      </c>
      <c r="G75" s="129">
        <v>108.16</v>
      </c>
      <c r="H75" s="129">
        <v>113.76</v>
      </c>
      <c r="I75" s="129">
        <v>113.76</v>
      </c>
      <c r="J75" s="129">
        <v>113.76</v>
      </c>
      <c r="K75" s="129">
        <v>103.56</v>
      </c>
      <c r="L75" s="129">
        <v>96.86</v>
      </c>
    </row>
    <row r="76" spans="1:12" ht="12.75" hidden="1">
      <c r="A76" s="129">
        <v>250</v>
      </c>
      <c r="B76" s="129">
        <v>269.99</v>
      </c>
      <c r="C76" s="129">
        <v>137.62</v>
      </c>
      <c r="D76" s="129">
        <v>137.62</v>
      </c>
      <c r="E76" s="129">
        <v>137.62</v>
      </c>
      <c r="F76" s="129">
        <v>124.61</v>
      </c>
      <c r="G76" s="129">
        <v>117.18</v>
      </c>
      <c r="H76" s="129">
        <v>123.24</v>
      </c>
      <c r="I76" s="129">
        <v>123.24</v>
      </c>
      <c r="J76" s="129">
        <v>123.24</v>
      </c>
      <c r="K76" s="129">
        <v>111.59</v>
      </c>
      <c r="L76" s="129">
        <v>104.94</v>
      </c>
    </row>
    <row r="77" spans="1:12" ht="12.75" hidden="1">
      <c r="A77" s="129">
        <v>270</v>
      </c>
      <c r="B77" s="129">
        <v>289.99</v>
      </c>
      <c r="C77" s="129">
        <v>148.2</v>
      </c>
      <c r="D77" s="129">
        <v>148.2</v>
      </c>
      <c r="E77" s="129">
        <v>148.2</v>
      </c>
      <c r="F77" s="129">
        <v>133.63</v>
      </c>
      <c r="G77" s="129">
        <v>126.15</v>
      </c>
      <c r="H77" s="129">
        <v>132.72</v>
      </c>
      <c r="I77" s="129">
        <v>132.72</v>
      </c>
      <c r="J77" s="129">
        <v>132.72</v>
      </c>
      <c r="K77" s="129">
        <v>119.67</v>
      </c>
      <c r="L77" s="129">
        <v>112.97</v>
      </c>
    </row>
    <row r="78" spans="1:12" ht="12.75" hidden="1">
      <c r="A78" s="129">
        <v>290</v>
      </c>
      <c r="B78" s="129">
        <v>309.99</v>
      </c>
      <c r="C78" s="129">
        <v>158.79</v>
      </c>
      <c r="D78" s="129">
        <v>158.79</v>
      </c>
      <c r="E78" s="129">
        <v>158.79</v>
      </c>
      <c r="F78" s="129">
        <v>142.66</v>
      </c>
      <c r="G78" s="129">
        <v>135.17</v>
      </c>
      <c r="H78" s="129">
        <v>142.2</v>
      </c>
      <c r="I78" s="129">
        <v>142.2</v>
      </c>
      <c r="J78" s="129">
        <v>142.2</v>
      </c>
      <c r="K78" s="129">
        <v>127.75</v>
      </c>
      <c r="L78" s="129">
        <v>121.05</v>
      </c>
    </row>
    <row r="79" spans="1:12" ht="12.75" hidden="1">
      <c r="A79" s="129">
        <v>310</v>
      </c>
      <c r="B79" s="129">
        <v>329.99</v>
      </c>
      <c r="C79" s="129">
        <v>169.38</v>
      </c>
      <c r="D79" s="129">
        <v>169.38</v>
      </c>
      <c r="E79" s="129">
        <v>169.38</v>
      </c>
      <c r="F79" s="129">
        <v>151.68</v>
      </c>
      <c r="G79" s="129">
        <v>144.2</v>
      </c>
      <c r="H79" s="129">
        <v>151.68</v>
      </c>
      <c r="I79" s="129">
        <v>151.68</v>
      </c>
      <c r="J79" s="129">
        <v>151.68</v>
      </c>
      <c r="K79" s="129">
        <v>135.83</v>
      </c>
      <c r="L79" s="129">
        <v>129.13</v>
      </c>
    </row>
    <row r="80" spans="1:12" ht="12.75" hidden="1">
      <c r="A80" s="129">
        <v>330</v>
      </c>
      <c r="B80" s="129">
        <v>349.99</v>
      </c>
      <c r="C80" s="129">
        <v>179.96</v>
      </c>
      <c r="D80" s="129">
        <v>179.96</v>
      </c>
      <c r="E80" s="129">
        <v>179.96</v>
      </c>
      <c r="F80" s="129">
        <v>160.65</v>
      </c>
      <c r="G80" s="129">
        <v>153.22</v>
      </c>
      <c r="H80" s="129">
        <v>161.16</v>
      </c>
      <c r="I80" s="129">
        <v>161.16</v>
      </c>
      <c r="J80" s="129">
        <v>161.16</v>
      </c>
      <c r="K80" s="129">
        <v>143.86</v>
      </c>
      <c r="L80" s="129">
        <v>137.21</v>
      </c>
    </row>
    <row r="81" spans="1:12" ht="12.75" hidden="1">
      <c r="A81" s="129">
        <v>350</v>
      </c>
      <c r="B81" s="129">
        <v>369.99</v>
      </c>
      <c r="C81" s="129">
        <v>190.55</v>
      </c>
      <c r="D81" s="129">
        <v>190.55</v>
      </c>
      <c r="E81" s="129">
        <v>190.55</v>
      </c>
      <c r="F81" s="129">
        <v>169.67</v>
      </c>
      <c r="G81" s="129">
        <v>162.19</v>
      </c>
      <c r="H81" s="129">
        <v>170.64</v>
      </c>
      <c r="I81" s="129">
        <v>170.64</v>
      </c>
      <c r="J81" s="129">
        <v>170.64</v>
      </c>
      <c r="K81" s="129">
        <v>151.94</v>
      </c>
      <c r="L81" s="129">
        <v>145.24</v>
      </c>
    </row>
    <row r="82" spans="1:12" ht="12.75" hidden="1">
      <c r="A82" s="129">
        <v>370</v>
      </c>
      <c r="B82" s="129">
        <v>389.99</v>
      </c>
      <c r="C82" s="129">
        <v>201.13</v>
      </c>
      <c r="D82" s="129">
        <v>201.13</v>
      </c>
      <c r="E82" s="129">
        <v>201.13</v>
      </c>
      <c r="F82" s="129">
        <v>178.69</v>
      </c>
      <c r="G82" s="129">
        <v>171.21</v>
      </c>
      <c r="H82" s="129">
        <v>180.12</v>
      </c>
      <c r="I82" s="129">
        <v>180.12</v>
      </c>
      <c r="J82" s="129">
        <v>180.12</v>
      </c>
      <c r="K82" s="129">
        <v>160.02</v>
      </c>
      <c r="L82" s="129">
        <v>153.32</v>
      </c>
    </row>
    <row r="83" spans="1:12" ht="12.75" hidden="1">
      <c r="A83" s="129">
        <v>390</v>
      </c>
      <c r="B83" s="129">
        <v>409.99</v>
      </c>
      <c r="C83" s="129">
        <v>211.72</v>
      </c>
      <c r="D83" s="129">
        <v>211.72</v>
      </c>
      <c r="E83" s="129">
        <v>211.72</v>
      </c>
      <c r="F83" s="129">
        <v>187.71</v>
      </c>
      <c r="G83" s="129">
        <v>180.23</v>
      </c>
      <c r="H83" s="129">
        <v>189.6</v>
      </c>
      <c r="I83" s="129">
        <v>189.6</v>
      </c>
      <c r="J83" s="129">
        <v>189.6</v>
      </c>
      <c r="K83" s="129">
        <v>168.1</v>
      </c>
      <c r="L83" s="129">
        <v>161.4</v>
      </c>
    </row>
    <row r="84" spans="1:12" ht="12.75" hidden="1">
      <c r="A84" s="129">
        <v>410</v>
      </c>
      <c r="B84" s="129">
        <v>429.99</v>
      </c>
      <c r="C84" s="129">
        <v>222.31</v>
      </c>
      <c r="D84" s="129">
        <v>222.31</v>
      </c>
      <c r="E84" s="129">
        <v>222.31</v>
      </c>
      <c r="F84" s="129">
        <v>196.74</v>
      </c>
      <c r="G84" s="129">
        <v>189.25</v>
      </c>
      <c r="H84" s="129">
        <v>199.08</v>
      </c>
      <c r="I84" s="129">
        <v>199.08</v>
      </c>
      <c r="J84" s="129">
        <v>199.08</v>
      </c>
      <c r="K84" s="129">
        <v>176.18</v>
      </c>
      <c r="L84" s="129">
        <v>169.48</v>
      </c>
    </row>
    <row r="85" spans="1:12" ht="12.75" hidden="1">
      <c r="A85" s="129">
        <v>430</v>
      </c>
      <c r="B85" s="129">
        <v>449.99</v>
      </c>
      <c r="C85" s="129">
        <v>232.89</v>
      </c>
      <c r="D85" s="129">
        <v>232.89</v>
      </c>
      <c r="E85" s="129">
        <v>232.89</v>
      </c>
      <c r="F85" s="129">
        <v>205.7</v>
      </c>
      <c r="G85" s="129">
        <v>198.22</v>
      </c>
      <c r="H85" s="129">
        <v>208.56</v>
      </c>
      <c r="I85" s="129">
        <v>208.56</v>
      </c>
      <c r="J85" s="129">
        <v>208.56</v>
      </c>
      <c r="K85" s="129">
        <v>184.21</v>
      </c>
      <c r="L85" s="129">
        <v>177.51</v>
      </c>
    </row>
    <row r="86" spans="1:12" ht="12.75" hidden="1">
      <c r="A86" s="129">
        <v>450</v>
      </c>
      <c r="B86" s="129">
        <v>469.99</v>
      </c>
      <c r="C86" s="129">
        <v>243.48</v>
      </c>
      <c r="D86" s="129">
        <v>243.48</v>
      </c>
      <c r="E86" s="129">
        <v>243.48</v>
      </c>
      <c r="F86" s="129">
        <v>214.73</v>
      </c>
      <c r="G86" s="129">
        <v>207.24</v>
      </c>
      <c r="H86" s="129">
        <v>218.04</v>
      </c>
      <c r="I86" s="129">
        <v>218.04</v>
      </c>
      <c r="J86" s="129">
        <v>218.04</v>
      </c>
      <c r="K86" s="129">
        <v>192.29</v>
      </c>
      <c r="L86" s="129">
        <v>185.59</v>
      </c>
    </row>
    <row r="87" spans="1:12" ht="12.75" hidden="1">
      <c r="A87" s="129">
        <v>470</v>
      </c>
      <c r="B87" s="129">
        <v>489.99</v>
      </c>
      <c r="C87" s="129">
        <v>254.06</v>
      </c>
      <c r="D87" s="129">
        <v>254.06</v>
      </c>
      <c r="E87" s="129">
        <v>254.06</v>
      </c>
      <c r="F87" s="129">
        <v>223.75</v>
      </c>
      <c r="G87" s="129">
        <v>216.27</v>
      </c>
      <c r="H87" s="129">
        <v>227.52</v>
      </c>
      <c r="I87" s="129">
        <v>227.52</v>
      </c>
      <c r="J87" s="129">
        <v>227.52</v>
      </c>
      <c r="K87" s="129">
        <v>200.37</v>
      </c>
      <c r="L87" s="129">
        <v>193.67</v>
      </c>
    </row>
    <row r="88" spans="1:12" ht="12.75" hidden="1">
      <c r="A88" s="129">
        <v>490</v>
      </c>
      <c r="B88" s="129">
        <v>509.99</v>
      </c>
      <c r="C88" s="129">
        <v>264.65</v>
      </c>
      <c r="D88" s="129">
        <v>264.65</v>
      </c>
      <c r="E88" s="129">
        <v>264.65</v>
      </c>
      <c r="F88" s="129">
        <v>232.77</v>
      </c>
      <c r="G88" s="129">
        <v>225.29</v>
      </c>
      <c r="H88" s="129">
        <v>237</v>
      </c>
      <c r="I88" s="129">
        <v>237</v>
      </c>
      <c r="J88" s="129">
        <v>237</v>
      </c>
      <c r="K88" s="129">
        <v>208.45</v>
      </c>
      <c r="L88" s="129">
        <v>201.75</v>
      </c>
    </row>
    <row r="89" spans="1:12" ht="12.75" hidden="1">
      <c r="A89" s="129">
        <v>510</v>
      </c>
      <c r="B89" s="129">
        <v>529.99</v>
      </c>
      <c r="C89" s="129">
        <v>275.24</v>
      </c>
      <c r="D89" s="129">
        <v>275.24</v>
      </c>
      <c r="E89" s="129">
        <v>275.24</v>
      </c>
      <c r="F89" s="129">
        <v>241.74</v>
      </c>
      <c r="G89" s="129">
        <v>234.31</v>
      </c>
      <c r="H89" s="129">
        <v>246.48</v>
      </c>
      <c r="I89" s="129">
        <v>246.48</v>
      </c>
      <c r="J89" s="129">
        <v>246.48</v>
      </c>
      <c r="K89" s="129">
        <v>216.48</v>
      </c>
      <c r="L89" s="129">
        <v>209.83</v>
      </c>
    </row>
    <row r="90" spans="1:12" ht="12.75" hidden="1">
      <c r="A90" s="129">
        <v>530</v>
      </c>
      <c r="B90" s="129">
        <v>549.99</v>
      </c>
      <c r="C90" s="129">
        <v>285.82</v>
      </c>
      <c r="D90" s="129">
        <v>285.82</v>
      </c>
      <c r="E90" s="129">
        <v>285.82</v>
      </c>
      <c r="F90" s="129">
        <v>250.76</v>
      </c>
      <c r="G90" s="129">
        <v>243.28</v>
      </c>
      <c r="H90" s="129">
        <v>255.96</v>
      </c>
      <c r="I90" s="129">
        <v>255.96</v>
      </c>
      <c r="J90" s="129">
        <v>255.96</v>
      </c>
      <c r="K90" s="129">
        <v>224.56</v>
      </c>
      <c r="L90" s="129">
        <v>217.86</v>
      </c>
    </row>
    <row r="91" spans="1:12" ht="12.75" hidden="1">
      <c r="A91" s="129">
        <v>550</v>
      </c>
      <c r="B91" s="129">
        <v>569.99</v>
      </c>
      <c r="C91" s="129">
        <v>296.41</v>
      </c>
      <c r="D91" s="129">
        <v>296.41</v>
      </c>
      <c r="E91" s="129">
        <v>296.41</v>
      </c>
      <c r="F91" s="129">
        <v>259.79</v>
      </c>
      <c r="G91" s="129">
        <v>252.3</v>
      </c>
      <c r="H91" s="129">
        <v>265.44</v>
      </c>
      <c r="I91" s="129">
        <v>265.44</v>
      </c>
      <c r="J91" s="129">
        <v>265.44</v>
      </c>
      <c r="K91" s="129">
        <v>232.64</v>
      </c>
      <c r="L91" s="129">
        <v>225.94</v>
      </c>
    </row>
    <row r="92" spans="1:12" ht="12.75" hidden="1">
      <c r="A92" s="129">
        <v>570</v>
      </c>
      <c r="B92" s="129">
        <v>589.99</v>
      </c>
      <c r="C92" s="129">
        <v>306.99</v>
      </c>
      <c r="D92" s="129">
        <v>306.99</v>
      </c>
      <c r="E92" s="129">
        <v>306.99</v>
      </c>
      <c r="F92" s="129">
        <v>268.8</v>
      </c>
      <c r="G92" s="129">
        <v>261.33</v>
      </c>
      <c r="H92" s="129">
        <v>274.92</v>
      </c>
      <c r="I92" s="129">
        <v>274.92</v>
      </c>
      <c r="J92" s="129">
        <v>274.92</v>
      </c>
      <c r="K92" s="129">
        <v>240.72</v>
      </c>
      <c r="L92" s="129">
        <v>234.02</v>
      </c>
    </row>
    <row r="93" spans="1:12" ht="12.75" hidden="1">
      <c r="A93" s="129">
        <v>590</v>
      </c>
      <c r="B93" s="129">
        <v>609.99</v>
      </c>
      <c r="C93" s="129">
        <v>317.58</v>
      </c>
      <c r="D93" s="129">
        <v>317.58</v>
      </c>
      <c r="E93" s="129">
        <v>317.58</v>
      </c>
      <c r="F93" s="129">
        <v>277.78</v>
      </c>
      <c r="G93" s="129">
        <v>270.35</v>
      </c>
      <c r="H93" s="129">
        <v>284.4</v>
      </c>
      <c r="I93" s="129">
        <v>284.4</v>
      </c>
      <c r="J93" s="129">
        <v>284.4</v>
      </c>
      <c r="K93" s="129">
        <v>248.75</v>
      </c>
      <c r="L93" s="129">
        <v>242.1</v>
      </c>
    </row>
    <row r="94" spans="1:12" ht="12.75" hidden="1">
      <c r="A94" s="129">
        <v>610</v>
      </c>
      <c r="B94" s="129">
        <v>629.99</v>
      </c>
      <c r="C94" s="129">
        <v>328.17</v>
      </c>
      <c r="D94" s="129">
        <v>328.17</v>
      </c>
      <c r="E94" s="129">
        <v>328.17</v>
      </c>
      <c r="F94" s="129">
        <v>286.79</v>
      </c>
      <c r="G94" s="129">
        <v>279.32</v>
      </c>
      <c r="H94" s="129">
        <v>293.88</v>
      </c>
      <c r="I94" s="129">
        <v>293.88</v>
      </c>
      <c r="J94" s="129">
        <v>293.88</v>
      </c>
      <c r="K94" s="129">
        <v>256.83</v>
      </c>
      <c r="L94" s="129">
        <v>250.13</v>
      </c>
    </row>
    <row r="95" spans="1:12" ht="12.75" hidden="1">
      <c r="A95" s="129">
        <v>630</v>
      </c>
      <c r="B95" s="129">
        <v>649.99</v>
      </c>
      <c r="C95" s="129">
        <v>338.75</v>
      </c>
      <c r="D95" s="129">
        <v>338.75</v>
      </c>
      <c r="E95" s="129">
        <v>338.75</v>
      </c>
      <c r="F95" s="129">
        <v>295.82</v>
      </c>
      <c r="G95" s="129">
        <v>288.33</v>
      </c>
      <c r="H95" s="129">
        <v>303.36</v>
      </c>
      <c r="I95" s="129">
        <v>303.36</v>
      </c>
      <c r="J95" s="129">
        <v>303.36</v>
      </c>
      <c r="K95" s="129">
        <v>264.91</v>
      </c>
      <c r="L95" s="129">
        <v>258.21</v>
      </c>
    </row>
    <row r="96" spans="1:12" ht="12.75" hidden="1">
      <c r="A96" s="129">
        <v>650</v>
      </c>
      <c r="B96" s="129">
        <v>669.99</v>
      </c>
      <c r="C96" s="129">
        <v>349.34</v>
      </c>
      <c r="D96" s="129">
        <v>349.34</v>
      </c>
      <c r="E96" s="129">
        <v>349.34</v>
      </c>
      <c r="F96" s="129">
        <v>304.84</v>
      </c>
      <c r="G96" s="129">
        <v>297.36</v>
      </c>
      <c r="H96" s="129">
        <v>312.84</v>
      </c>
      <c r="I96" s="129">
        <v>312.84</v>
      </c>
      <c r="J96" s="129">
        <v>312.84</v>
      </c>
      <c r="K96" s="129">
        <v>272.99</v>
      </c>
      <c r="L96" s="129">
        <v>266.29</v>
      </c>
    </row>
    <row r="97" spans="1:12" ht="12.75" hidden="1">
      <c r="A97" s="129">
        <v>670</v>
      </c>
      <c r="B97" s="129">
        <v>689.99</v>
      </c>
      <c r="C97" s="129">
        <v>359.92</v>
      </c>
      <c r="D97" s="129">
        <v>359.92</v>
      </c>
      <c r="E97" s="129">
        <v>359.92</v>
      </c>
      <c r="F97" s="129">
        <v>313.81</v>
      </c>
      <c r="G97" s="129">
        <v>306.38</v>
      </c>
      <c r="H97" s="129">
        <v>322.32</v>
      </c>
      <c r="I97" s="129">
        <v>322.32</v>
      </c>
      <c r="J97" s="129">
        <v>322.32</v>
      </c>
      <c r="K97" s="129">
        <v>281.02</v>
      </c>
      <c r="L97" s="129">
        <v>274.37</v>
      </c>
    </row>
    <row r="98" spans="1:12" ht="12.75" hidden="1">
      <c r="A98" s="129">
        <v>690</v>
      </c>
      <c r="B98" s="129">
        <v>709.99</v>
      </c>
      <c r="C98" s="129">
        <v>370.51</v>
      </c>
      <c r="D98" s="129">
        <v>370.51</v>
      </c>
      <c r="E98" s="129">
        <v>370.51</v>
      </c>
      <c r="F98" s="129">
        <v>322.83</v>
      </c>
      <c r="G98" s="129">
        <v>315.24</v>
      </c>
      <c r="H98" s="129">
        <v>331.8</v>
      </c>
      <c r="I98" s="129">
        <v>331.8</v>
      </c>
      <c r="J98" s="129">
        <v>331.8</v>
      </c>
      <c r="K98" s="129">
        <v>289.1</v>
      </c>
      <c r="L98" s="129">
        <v>282.3</v>
      </c>
    </row>
    <row r="99" spans="1:12" ht="12.75" hidden="1">
      <c r="A99" s="129">
        <v>710</v>
      </c>
      <c r="B99" s="129">
        <v>729.99</v>
      </c>
      <c r="C99" s="129">
        <v>381.1</v>
      </c>
      <c r="D99" s="129">
        <v>381.1</v>
      </c>
      <c r="E99" s="129">
        <v>381.1</v>
      </c>
      <c r="F99" s="129">
        <v>331.85</v>
      </c>
      <c r="G99" s="129">
        <v>323.88</v>
      </c>
      <c r="H99" s="129">
        <v>341.28</v>
      </c>
      <c r="I99" s="129">
        <v>341.28</v>
      </c>
      <c r="J99" s="129">
        <v>341.28</v>
      </c>
      <c r="K99" s="129">
        <v>297.18</v>
      </c>
      <c r="L99" s="129">
        <v>290.05</v>
      </c>
    </row>
    <row r="100" spans="1:12" ht="12.75" hidden="1">
      <c r="A100" s="129">
        <v>730</v>
      </c>
      <c r="B100" s="129">
        <v>749.99</v>
      </c>
      <c r="C100" s="129">
        <v>391.68</v>
      </c>
      <c r="D100" s="129">
        <v>391.68</v>
      </c>
      <c r="E100" s="129">
        <v>391.68</v>
      </c>
      <c r="F100" s="129">
        <v>340.88</v>
      </c>
      <c r="G100" s="129">
        <v>332.59</v>
      </c>
      <c r="H100" s="129">
        <v>350.76</v>
      </c>
      <c r="I100" s="129">
        <v>350.76</v>
      </c>
      <c r="J100" s="129">
        <v>350.76</v>
      </c>
      <c r="K100" s="129">
        <v>305.26</v>
      </c>
      <c r="L100" s="129">
        <v>297.84</v>
      </c>
    </row>
    <row r="101" spans="1:12" ht="12.75" hidden="1">
      <c r="A101" s="129">
        <v>750</v>
      </c>
      <c r="B101" s="129">
        <v>769.99</v>
      </c>
      <c r="C101" s="129">
        <v>402.27</v>
      </c>
      <c r="D101" s="129">
        <v>402.27</v>
      </c>
      <c r="E101" s="129">
        <v>402.27</v>
      </c>
      <c r="F101" s="129">
        <v>349.9</v>
      </c>
      <c r="G101" s="129">
        <v>341.3</v>
      </c>
      <c r="H101" s="129">
        <v>360.24</v>
      </c>
      <c r="I101" s="129">
        <v>360.24</v>
      </c>
      <c r="J101" s="129">
        <v>360.24</v>
      </c>
      <c r="K101" s="129">
        <v>313.34</v>
      </c>
      <c r="L101" s="129">
        <v>305.65</v>
      </c>
    </row>
    <row r="102" spans="1:12" ht="12.75" hidden="1">
      <c r="A102" s="129">
        <v>770</v>
      </c>
      <c r="B102" s="129">
        <v>789.99</v>
      </c>
      <c r="C102" s="129">
        <v>412.85</v>
      </c>
      <c r="D102" s="129">
        <v>412.85</v>
      </c>
      <c r="E102" s="129">
        <v>412.85</v>
      </c>
      <c r="F102" s="129">
        <v>358.87</v>
      </c>
      <c r="G102" s="129">
        <v>350.01</v>
      </c>
      <c r="H102" s="129">
        <v>369.72</v>
      </c>
      <c r="I102" s="129">
        <v>369.72</v>
      </c>
      <c r="J102" s="129">
        <v>369.72</v>
      </c>
      <c r="K102" s="129">
        <v>321.37</v>
      </c>
      <c r="L102" s="129">
        <v>313.45</v>
      </c>
    </row>
    <row r="103" spans="1:12" ht="12.75" hidden="1">
      <c r="A103" s="129">
        <v>790</v>
      </c>
      <c r="B103" s="129">
        <v>809.99</v>
      </c>
      <c r="C103" s="129">
        <v>423.44</v>
      </c>
      <c r="D103" s="129">
        <v>423.44</v>
      </c>
      <c r="E103" s="129">
        <v>423.44</v>
      </c>
      <c r="F103" s="129">
        <v>367.64</v>
      </c>
      <c r="G103" s="129">
        <v>358.66</v>
      </c>
      <c r="H103" s="129">
        <v>379.2</v>
      </c>
      <c r="I103" s="129">
        <v>379.2</v>
      </c>
      <c r="J103" s="129">
        <v>379.2</v>
      </c>
      <c r="K103" s="129">
        <v>329.23</v>
      </c>
      <c r="L103" s="129">
        <v>321.19</v>
      </c>
    </row>
    <row r="104" spans="1:12" ht="12.75" hidden="1">
      <c r="A104" s="129">
        <v>810</v>
      </c>
      <c r="B104" s="129">
        <v>829.99</v>
      </c>
      <c r="C104" s="129">
        <v>434.03</v>
      </c>
      <c r="D104" s="129">
        <v>434.03</v>
      </c>
      <c r="E104" s="129">
        <v>434.03</v>
      </c>
      <c r="F104" s="129">
        <v>376.34</v>
      </c>
      <c r="G104" s="129">
        <v>367.37</v>
      </c>
      <c r="H104" s="129">
        <v>388.68</v>
      </c>
      <c r="I104" s="129">
        <v>388.68</v>
      </c>
      <c r="J104" s="129">
        <v>388.68</v>
      </c>
      <c r="K104" s="129">
        <v>337.02</v>
      </c>
      <c r="L104" s="129">
        <v>328.99</v>
      </c>
    </row>
    <row r="105" spans="1:12" ht="12.75" hidden="1">
      <c r="A105" s="129">
        <v>830</v>
      </c>
      <c r="B105" s="129">
        <v>849.99</v>
      </c>
      <c r="C105" s="129">
        <v>444.61</v>
      </c>
      <c r="D105" s="129">
        <v>444.61</v>
      </c>
      <c r="E105" s="129">
        <v>444.61</v>
      </c>
      <c r="F105" s="129">
        <v>385.06</v>
      </c>
      <c r="G105" s="129">
        <v>376.07</v>
      </c>
      <c r="H105" s="129">
        <v>398.16</v>
      </c>
      <c r="I105" s="129">
        <v>398.16</v>
      </c>
      <c r="J105" s="129">
        <v>398.16</v>
      </c>
      <c r="K105" s="129">
        <v>344.83</v>
      </c>
      <c r="L105" s="129">
        <v>336.78</v>
      </c>
    </row>
    <row r="106" spans="1:12" ht="12.75" hidden="1">
      <c r="A106" s="129">
        <v>850</v>
      </c>
      <c r="B106" s="129">
        <v>869.99</v>
      </c>
      <c r="C106" s="129">
        <v>455.2</v>
      </c>
      <c r="D106" s="129">
        <v>455.2</v>
      </c>
      <c r="E106" s="129">
        <v>455.2</v>
      </c>
      <c r="F106" s="129">
        <v>393.77</v>
      </c>
      <c r="G106" s="129">
        <v>384.79</v>
      </c>
      <c r="H106" s="129">
        <v>407.64</v>
      </c>
      <c r="I106" s="129">
        <v>407.64</v>
      </c>
      <c r="J106" s="129">
        <v>407.64</v>
      </c>
      <c r="K106" s="129">
        <v>352.63</v>
      </c>
      <c r="L106" s="129">
        <v>344.59</v>
      </c>
    </row>
    <row r="107" spans="1:12" ht="12.75" hidden="1">
      <c r="A107" s="129">
        <v>870</v>
      </c>
      <c r="B107" s="129">
        <v>889.99</v>
      </c>
      <c r="C107" s="129">
        <v>465.78</v>
      </c>
      <c r="D107" s="129">
        <v>465.78</v>
      </c>
      <c r="E107" s="129">
        <v>465.78</v>
      </c>
      <c r="F107" s="129">
        <v>402.41</v>
      </c>
      <c r="G107" s="129">
        <v>393.42</v>
      </c>
      <c r="H107" s="129">
        <v>417.12</v>
      </c>
      <c r="I107" s="129">
        <v>417.12</v>
      </c>
      <c r="J107" s="129">
        <v>417.12</v>
      </c>
      <c r="K107" s="129">
        <v>360.37</v>
      </c>
      <c r="L107" s="129">
        <v>352.32</v>
      </c>
    </row>
    <row r="108" spans="1:12" ht="12.75" hidden="1">
      <c r="A108" s="129">
        <v>890</v>
      </c>
      <c r="B108" s="129">
        <v>909.99</v>
      </c>
      <c r="C108" s="129">
        <v>475.48</v>
      </c>
      <c r="D108" s="129">
        <v>476.37</v>
      </c>
      <c r="E108" s="129">
        <v>476.37</v>
      </c>
      <c r="F108" s="129">
        <v>411.12</v>
      </c>
      <c r="G108" s="129">
        <v>402.14</v>
      </c>
      <c r="H108" s="129">
        <v>425.8</v>
      </c>
      <c r="I108" s="129">
        <v>426.6</v>
      </c>
      <c r="J108" s="129">
        <v>426.6</v>
      </c>
      <c r="K108" s="129">
        <v>368.17</v>
      </c>
      <c r="L108" s="129">
        <v>360.13</v>
      </c>
    </row>
    <row r="109" spans="1:12" ht="12.75" hidden="1">
      <c r="A109" s="129">
        <v>910</v>
      </c>
      <c r="B109" s="129">
        <v>929.99</v>
      </c>
      <c r="C109" s="129">
        <v>484.44</v>
      </c>
      <c r="D109" s="129">
        <v>486.96</v>
      </c>
      <c r="E109" s="129">
        <v>486.96</v>
      </c>
      <c r="F109" s="129">
        <v>419.82</v>
      </c>
      <c r="G109" s="129">
        <v>410.85</v>
      </c>
      <c r="H109" s="129">
        <v>433.83</v>
      </c>
      <c r="I109" s="129">
        <v>436.08</v>
      </c>
      <c r="J109" s="129">
        <v>436.08</v>
      </c>
      <c r="K109" s="129">
        <v>375.96</v>
      </c>
      <c r="L109" s="129">
        <v>367.93</v>
      </c>
    </row>
    <row r="110" spans="1:12" ht="12.75" hidden="1">
      <c r="A110" s="129">
        <v>930</v>
      </c>
      <c r="B110" s="129">
        <v>949.99</v>
      </c>
      <c r="C110" s="129">
        <v>493.41</v>
      </c>
      <c r="D110" s="129">
        <v>497.54</v>
      </c>
      <c r="E110" s="129">
        <v>497.54</v>
      </c>
      <c r="F110" s="129">
        <v>428.54</v>
      </c>
      <c r="G110" s="129">
        <v>418.62</v>
      </c>
      <c r="H110" s="129">
        <v>441.86</v>
      </c>
      <c r="I110" s="129">
        <v>445.56</v>
      </c>
      <c r="J110" s="129">
        <v>445.56</v>
      </c>
      <c r="K110" s="129">
        <v>383.77</v>
      </c>
      <c r="L110" s="129">
        <v>374.89</v>
      </c>
    </row>
    <row r="111" spans="1:12" ht="12.75" hidden="1">
      <c r="A111" s="129">
        <v>950</v>
      </c>
      <c r="B111" s="129">
        <v>969.99</v>
      </c>
      <c r="C111" s="129">
        <v>502.27</v>
      </c>
      <c r="D111" s="129">
        <v>508.13</v>
      </c>
      <c r="E111" s="129">
        <v>508.13</v>
      </c>
      <c r="F111" s="129">
        <v>437.18</v>
      </c>
      <c r="G111" s="129">
        <v>424.19</v>
      </c>
      <c r="H111" s="129">
        <v>449.79</v>
      </c>
      <c r="I111" s="129">
        <v>455.04</v>
      </c>
      <c r="J111" s="129">
        <v>455.04</v>
      </c>
      <c r="K111" s="129">
        <v>391.5</v>
      </c>
      <c r="L111" s="129">
        <v>379.87</v>
      </c>
    </row>
    <row r="112" spans="1:12" ht="12.75" hidden="1">
      <c r="A112" s="129">
        <v>970</v>
      </c>
      <c r="B112" s="129">
        <v>989.99</v>
      </c>
      <c r="C112" s="129">
        <v>511.12</v>
      </c>
      <c r="D112" s="129">
        <v>518.71</v>
      </c>
      <c r="E112" s="129">
        <v>518.71</v>
      </c>
      <c r="F112" s="129">
        <v>445.89</v>
      </c>
      <c r="G112" s="129">
        <v>429.83</v>
      </c>
      <c r="H112" s="129">
        <v>457.72</v>
      </c>
      <c r="I112" s="129">
        <v>464.52</v>
      </c>
      <c r="J112" s="129">
        <v>464.52</v>
      </c>
      <c r="K112" s="129">
        <v>399.31</v>
      </c>
      <c r="L112" s="129">
        <v>384.92</v>
      </c>
    </row>
    <row r="113" spans="1:12" ht="12.75" hidden="1">
      <c r="A113" s="129">
        <v>990</v>
      </c>
      <c r="B113" s="129">
        <v>1009.99</v>
      </c>
      <c r="C113" s="129">
        <v>519.92</v>
      </c>
      <c r="D113" s="129">
        <v>529.3</v>
      </c>
      <c r="E113" s="129">
        <v>529.3</v>
      </c>
      <c r="F113" s="129">
        <v>454.6</v>
      </c>
      <c r="G113" s="129">
        <v>435.41</v>
      </c>
      <c r="H113" s="129">
        <v>465.6</v>
      </c>
      <c r="I113" s="129">
        <v>474</v>
      </c>
      <c r="J113" s="129">
        <v>474</v>
      </c>
      <c r="K113" s="129">
        <v>407.11</v>
      </c>
      <c r="L113" s="129">
        <v>389.92</v>
      </c>
    </row>
    <row r="114" spans="1:12" ht="12.75" hidden="1">
      <c r="A114" s="129">
        <v>1010</v>
      </c>
      <c r="B114" s="129">
        <v>1029.99</v>
      </c>
      <c r="C114" s="129">
        <v>528.66</v>
      </c>
      <c r="D114" s="129">
        <v>539.78</v>
      </c>
      <c r="E114" s="129">
        <v>539.89</v>
      </c>
      <c r="F114" s="129">
        <v>463.31</v>
      </c>
      <c r="G114" s="129">
        <v>440.99</v>
      </c>
      <c r="H114" s="129">
        <v>473.43</v>
      </c>
      <c r="I114" s="129">
        <v>483.38</v>
      </c>
      <c r="J114" s="129">
        <v>483.48</v>
      </c>
      <c r="K114" s="129">
        <v>414.9</v>
      </c>
      <c r="L114" s="129">
        <v>394.92</v>
      </c>
    </row>
    <row r="115" spans="1:12" ht="12.75" hidden="1">
      <c r="A115" s="129">
        <v>1030</v>
      </c>
      <c r="B115" s="129">
        <v>1049.99</v>
      </c>
      <c r="C115" s="129">
        <v>537.41</v>
      </c>
      <c r="D115" s="129">
        <v>548.8</v>
      </c>
      <c r="E115" s="129">
        <v>550.47</v>
      </c>
      <c r="F115" s="129">
        <v>470.25</v>
      </c>
      <c r="G115" s="129">
        <v>446.63</v>
      </c>
      <c r="H115" s="129">
        <v>481.26</v>
      </c>
      <c r="I115" s="129">
        <v>491.46</v>
      </c>
      <c r="J115" s="129">
        <v>492.96</v>
      </c>
      <c r="K115" s="129">
        <v>421.12</v>
      </c>
      <c r="L115" s="129">
        <v>399.97</v>
      </c>
    </row>
    <row r="116" spans="1:12" ht="12.75" hidden="1">
      <c r="A116" s="129">
        <v>1050</v>
      </c>
      <c r="B116" s="129">
        <v>1069.99</v>
      </c>
      <c r="C116" s="129">
        <v>546.1</v>
      </c>
      <c r="D116" s="129">
        <v>557.71</v>
      </c>
      <c r="E116" s="129">
        <v>561.06</v>
      </c>
      <c r="F116" s="129">
        <v>475.89</v>
      </c>
      <c r="G116" s="129">
        <v>452.2</v>
      </c>
      <c r="H116" s="129">
        <v>489.04</v>
      </c>
      <c r="I116" s="129">
        <v>499.44</v>
      </c>
      <c r="J116" s="129">
        <v>502.44</v>
      </c>
      <c r="K116" s="129">
        <v>426.17</v>
      </c>
      <c r="L116" s="129">
        <v>404.96</v>
      </c>
    </row>
    <row r="117" spans="1:12" ht="12.75" hidden="1">
      <c r="A117" s="129">
        <v>1070</v>
      </c>
      <c r="B117" s="129">
        <v>1089.99</v>
      </c>
      <c r="C117" s="129">
        <v>554.67</v>
      </c>
      <c r="D117" s="129">
        <v>566.62</v>
      </c>
      <c r="E117" s="129">
        <v>571.64</v>
      </c>
      <c r="F117" s="129">
        <v>481.47</v>
      </c>
      <c r="G117" s="129">
        <v>457.79</v>
      </c>
      <c r="H117" s="129">
        <v>496.72</v>
      </c>
      <c r="I117" s="129">
        <v>507.42</v>
      </c>
      <c r="J117" s="129">
        <v>511.92</v>
      </c>
      <c r="K117" s="129">
        <v>431.17</v>
      </c>
      <c r="L117" s="129">
        <v>409.96</v>
      </c>
    </row>
    <row r="118" spans="1:12" ht="12.75" hidden="1">
      <c r="A118" s="129">
        <v>1090</v>
      </c>
      <c r="B118" s="129">
        <v>1109.99</v>
      </c>
      <c r="C118" s="129">
        <v>563.3</v>
      </c>
      <c r="D118" s="129">
        <v>575.48</v>
      </c>
      <c r="E118" s="129">
        <v>582.23</v>
      </c>
      <c r="F118" s="129">
        <v>487.05</v>
      </c>
      <c r="G118" s="129">
        <v>463.43</v>
      </c>
      <c r="H118" s="129">
        <v>504.45</v>
      </c>
      <c r="I118" s="129">
        <v>515.35</v>
      </c>
      <c r="J118" s="129">
        <v>521.4</v>
      </c>
      <c r="K118" s="129">
        <v>436.16</v>
      </c>
      <c r="L118" s="129">
        <v>415.01</v>
      </c>
    </row>
    <row r="119" spans="1:12" ht="12.75" hidden="1">
      <c r="A119" s="129">
        <v>1110</v>
      </c>
      <c r="B119" s="129">
        <v>1129.99</v>
      </c>
      <c r="C119" s="129">
        <v>571.82</v>
      </c>
      <c r="D119" s="129">
        <v>584.33</v>
      </c>
      <c r="E119" s="129">
        <v>592.82</v>
      </c>
      <c r="F119" s="129">
        <v>492.68</v>
      </c>
      <c r="G119" s="129">
        <v>469.01</v>
      </c>
      <c r="H119" s="129">
        <v>512.08</v>
      </c>
      <c r="I119" s="129">
        <v>523.28</v>
      </c>
      <c r="J119" s="129">
        <v>530.88</v>
      </c>
      <c r="K119" s="129">
        <v>441.21</v>
      </c>
      <c r="L119" s="129">
        <v>420.01</v>
      </c>
    </row>
    <row r="120" spans="1:12" ht="12.75" hidden="1">
      <c r="A120" s="129">
        <v>1130</v>
      </c>
      <c r="B120" s="129">
        <v>1149.99</v>
      </c>
      <c r="C120" s="129">
        <v>580.35</v>
      </c>
      <c r="D120" s="129">
        <v>593.08</v>
      </c>
      <c r="E120" s="129">
        <v>603.4</v>
      </c>
      <c r="F120" s="129">
        <v>498.26</v>
      </c>
      <c r="G120" s="129">
        <v>474.65</v>
      </c>
      <c r="H120" s="129">
        <v>519.71</v>
      </c>
      <c r="I120" s="129">
        <v>531.11</v>
      </c>
      <c r="J120" s="129">
        <v>540.36</v>
      </c>
      <c r="K120" s="129">
        <v>446.2</v>
      </c>
      <c r="L120" s="129">
        <v>425.06</v>
      </c>
    </row>
    <row r="121" spans="1:12" ht="12.75" hidden="1">
      <c r="A121" s="129">
        <v>1150</v>
      </c>
      <c r="B121" s="129">
        <v>1169.99</v>
      </c>
      <c r="C121" s="129">
        <v>588.81</v>
      </c>
      <c r="D121" s="129">
        <v>601.82</v>
      </c>
      <c r="E121" s="129">
        <v>613.99</v>
      </c>
      <c r="F121" s="129">
        <v>503.84</v>
      </c>
      <c r="G121" s="129">
        <v>480.22</v>
      </c>
      <c r="H121" s="129">
        <v>527.29</v>
      </c>
      <c r="I121" s="129">
        <v>538.94</v>
      </c>
      <c r="J121" s="129">
        <v>549.84</v>
      </c>
      <c r="K121" s="129">
        <v>451.2</v>
      </c>
      <c r="L121" s="129">
        <v>430.05</v>
      </c>
    </row>
    <row r="122" spans="1:12" ht="12.75" hidden="1">
      <c r="A122" s="129">
        <v>1170</v>
      </c>
      <c r="B122" s="129">
        <v>1189.99</v>
      </c>
      <c r="C122" s="129">
        <v>597.27</v>
      </c>
      <c r="D122" s="129">
        <v>610.5</v>
      </c>
      <c r="E122" s="129">
        <v>624.57</v>
      </c>
      <c r="F122" s="129">
        <v>509.42</v>
      </c>
      <c r="G122" s="129">
        <v>485.8</v>
      </c>
      <c r="H122" s="129">
        <v>534.87</v>
      </c>
      <c r="I122" s="129">
        <v>546.72</v>
      </c>
      <c r="J122" s="129">
        <v>559.32</v>
      </c>
      <c r="K122" s="129">
        <v>456.2</v>
      </c>
      <c r="L122" s="129">
        <v>435.05</v>
      </c>
    </row>
    <row r="123" spans="1:12" ht="12.75" hidden="1">
      <c r="A123" s="129">
        <v>1190</v>
      </c>
      <c r="B123" s="129">
        <v>1209.99</v>
      </c>
      <c r="C123" s="129">
        <v>605.63</v>
      </c>
      <c r="D123" s="129">
        <v>619.19</v>
      </c>
      <c r="E123" s="129">
        <v>635.16</v>
      </c>
      <c r="F123" s="129">
        <v>515.06</v>
      </c>
      <c r="G123" s="129">
        <v>491.44</v>
      </c>
      <c r="H123" s="129">
        <v>542.35</v>
      </c>
      <c r="I123" s="129">
        <v>554.5</v>
      </c>
      <c r="J123" s="129">
        <v>568.8</v>
      </c>
      <c r="K123" s="129">
        <v>461.25</v>
      </c>
      <c r="L123" s="129">
        <v>440.09</v>
      </c>
    </row>
    <row r="124" spans="1:12" ht="12.75" hidden="1">
      <c r="A124" s="129">
        <v>1210</v>
      </c>
      <c r="B124" s="129">
        <v>1229.99</v>
      </c>
      <c r="C124" s="129">
        <v>613.98</v>
      </c>
      <c r="D124" s="129">
        <v>627.77</v>
      </c>
      <c r="E124" s="129">
        <v>645.75</v>
      </c>
      <c r="F124" s="129">
        <v>520.64</v>
      </c>
      <c r="G124" s="129">
        <v>497.02</v>
      </c>
      <c r="H124" s="129">
        <v>549.83</v>
      </c>
      <c r="I124" s="129">
        <v>562.18</v>
      </c>
      <c r="J124" s="129">
        <v>578.28</v>
      </c>
      <c r="K124" s="129">
        <v>466.24</v>
      </c>
      <c r="L124" s="129">
        <v>445.09</v>
      </c>
    </row>
    <row r="125" spans="1:12" ht="12.75" hidden="1">
      <c r="A125" s="129">
        <v>1230</v>
      </c>
      <c r="B125" s="129">
        <v>1249.99</v>
      </c>
      <c r="C125" s="129">
        <v>622.28</v>
      </c>
      <c r="D125" s="129">
        <v>636.35</v>
      </c>
      <c r="E125" s="129">
        <v>656.33</v>
      </c>
      <c r="F125" s="129">
        <v>526.22</v>
      </c>
      <c r="G125" s="129">
        <v>502.59</v>
      </c>
      <c r="H125" s="129">
        <v>557.26</v>
      </c>
      <c r="I125" s="129">
        <v>569.86</v>
      </c>
      <c r="J125" s="129">
        <v>587.76</v>
      </c>
      <c r="K125" s="129">
        <v>471.24</v>
      </c>
      <c r="L125" s="129">
        <v>450.08</v>
      </c>
    </row>
    <row r="126" spans="1:12" ht="12.75" hidden="1">
      <c r="A126" s="129">
        <v>1250</v>
      </c>
      <c r="B126" s="129">
        <v>1269.99</v>
      </c>
      <c r="C126" s="129">
        <v>630.57</v>
      </c>
      <c r="D126" s="129">
        <v>644.92</v>
      </c>
      <c r="E126" s="129">
        <v>666.92</v>
      </c>
      <c r="F126" s="129">
        <v>531.86</v>
      </c>
      <c r="G126" s="129">
        <v>508.17</v>
      </c>
      <c r="H126" s="129">
        <v>564.69</v>
      </c>
      <c r="I126" s="129">
        <v>577.54</v>
      </c>
      <c r="J126" s="129">
        <v>597.24</v>
      </c>
      <c r="K126" s="129">
        <v>476.29</v>
      </c>
      <c r="L126" s="129">
        <v>455.08</v>
      </c>
    </row>
    <row r="127" spans="1:12" ht="12.75" hidden="1">
      <c r="A127" s="129">
        <v>1270</v>
      </c>
      <c r="B127" s="129">
        <v>1289.99</v>
      </c>
      <c r="C127" s="129">
        <v>638.76</v>
      </c>
      <c r="D127" s="129">
        <v>653.38</v>
      </c>
      <c r="E127" s="129">
        <v>677.5</v>
      </c>
      <c r="F127" s="129">
        <v>537.44</v>
      </c>
      <c r="G127" s="129">
        <v>513.82</v>
      </c>
      <c r="H127" s="129">
        <v>572.02</v>
      </c>
      <c r="I127" s="129">
        <v>585.12</v>
      </c>
      <c r="J127" s="129">
        <v>606.72</v>
      </c>
      <c r="K127" s="129">
        <v>481.29</v>
      </c>
      <c r="L127" s="129">
        <v>460.13</v>
      </c>
    </row>
    <row r="128" spans="1:12" ht="12.75" hidden="1">
      <c r="A128" s="129">
        <v>1290</v>
      </c>
      <c r="B128" s="129">
        <v>1309.99</v>
      </c>
      <c r="C128" s="129">
        <v>646.95</v>
      </c>
      <c r="D128" s="129">
        <v>661.85</v>
      </c>
      <c r="E128" s="129">
        <v>688.09</v>
      </c>
      <c r="F128" s="129">
        <v>543.01</v>
      </c>
      <c r="G128" s="129">
        <v>519.4</v>
      </c>
      <c r="H128" s="129">
        <v>579.35</v>
      </c>
      <c r="I128" s="129">
        <v>592.7</v>
      </c>
      <c r="J128" s="129">
        <v>616.2</v>
      </c>
      <c r="K128" s="129">
        <v>486.28</v>
      </c>
      <c r="L128" s="129">
        <v>465.13</v>
      </c>
    </row>
    <row r="129" spans="1:12" ht="12.75" hidden="1">
      <c r="A129" s="129">
        <v>1310</v>
      </c>
      <c r="B129" s="129">
        <v>1329.99</v>
      </c>
      <c r="C129" s="129">
        <v>655.07</v>
      </c>
      <c r="D129" s="129">
        <v>670.2</v>
      </c>
      <c r="E129" s="129">
        <v>698.68</v>
      </c>
      <c r="F129" s="129">
        <v>548.6</v>
      </c>
      <c r="G129" s="129">
        <v>524.97</v>
      </c>
      <c r="H129" s="129">
        <v>586.63</v>
      </c>
      <c r="I129" s="129">
        <v>600.18</v>
      </c>
      <c r="J129" s="129">
        <v>625.68</v>
      </c>
      <c r="K129" s="129">
        <v>491.28</v>
      </c>
      <c r="L129" s="129">
        <v>470.12</v>
      </c>
    </row>
    <row r="130" spans="1:12" ht="12.75" hidden="1">
      <c r="A130" s="129">
        <v>1330</v>
      </c>
      <c r="B130" s="129">
        <v>1349.99</v>
      </c>
      <c r="C130" s="129">
        <v>662.81</v>
      </c>
      <c r="D130" s="129">
        <v>678.27</v>
      </c>
      <c r="E130" s="129">
        <v>709.26</v>
      </c>
      <c r="F130" s="129">
        <v>553.47</v>
      </c>
      <c r="G130" s="129">
        <v>529.84</v>
      </c>
      <c r="H130" s="129">
        <v>593.56</v>
      </c>
      <c r="I130" s="129">
        <v>607.41</v>
      </c>
      <c r="J130" s="129">
        <v>635.16</v>
      </c>
      <c r="K130" s="129">
        <v>495.64</v>
      </c>
      <c r="L130" s="129">
        <v>474.49</v>
      </c>
    </row>
    <row r="131" spans="1:12" ht="12.75" hidden="1">
      <c r="A131" s="129">
        <v>1350</v>
      </c>
      <c r="B131" s="129">
        <v>1369.99</v>
      </c>
      <c r="C131" s="129">
        <v>670.5</v>
      </c>
      <c r="D131" s="129">
        <v>686.24</v>
      </c>
      <c r="E131" s="129">
        <v>719.85</v>
      </c>
      <c r="F131" s="129">
        <v>558.4</v>
      </c>
      <c r="G131" s="129">
        <v>534.72</v>
      </c>
      <c r="H131" s="129">
        <v>600.44</v>
      </c>
      <c r="I131" s="129">
        <v>614.54</v>
      </c>
      <c r="J131" s="129">
        <v>644.64</v>
      </c>
      <c r="K131" s="129">
        <v>500.06</v>
      </c>
      <c r="L131" s="129">
        <v>478.85</v>
      </c>
    </row>
    <row r="132" spans="1:12" ht="12.75" hidden="1">
      <c r="A132" s="129">
        <v>1370</v>
      </c>
      <c r="B132" s="129">
        <v>1389.99</v>
      </c>
      <c r="C132" s="129">
        <v>678.12</v>
      </c>
      <c r="D132" s="129">
        <v>694.2</v>
      </c>
      <c r="E132" s="129">
        <v>730.43</v>
      </c>
      <c r="F132" s="129">
        <v>563.27</v>
      </c>
      <c r="G132" s="129">
        <v>539.65</v>
      </c>
      <c r="H132" s="129">
        <v>607.27</v>
      </c>
      <c r="I132" s="129">
        <v>621.67</v>
      </c>
      <c r="J132" s="129">
        <v>654.12</v>
      </c>
      <c r="K132" s="129">
        <v>504.42</v>
      </c>
      <c r="L132" s="129">
        <v>483.27</v>
      </c>
    </row>
    <row r="133" spans="1:12" ht="12.75" hidden="1">
      <c r="A133" s="129">
        <v>1390</v>
      </c>
      <c r="B133" s="129">
        <v>1409.99</v>
      </c>
      <c r="C133" s="129">
        <v>685.48</v>
      </c>
      <c r="D133" s="129">
        <v>702.05</v>
      </c>
      <c r="E133" s="129">
        <v>741.02</v>
      </c>
      <c r="F133" s="129">
        <v>568.14</v>
      </c>
      <c r="G133" s="129">
        <v>544.52</v>
      </c>
      <c r="H133" s="129">
        <v>613.87</v>
      </c>
      <c r="I133" s="129">
        <v>628.7</v>
      </c>
      <c r="J133" s="129">
        <v>663.6</v>
      </c>
      <c r="K133" s="129">
        <v>508.78</v>
      </c>
      <c r="L133" s="129">
        <v>487.63</v>
      </c>
    </row>
    <row r="134" spans="1:12" ht="12.75" hidden="1">
      <c r="A134" s="129">
        <v>1410</v>
      </c>
      <c r="B134" s="129">
        <v>1429.99</v>
      </c>
      <c r="C134" s="129">
        <v>692.38</v>
      </c>
      <c r="D134" s="129">
        <v>709.9</v>
      </c>
      <c r="E134" s="129">
        <v>751.61</v>
      </c>
      <c r="F134" s="129">
        <v>573.07</v>
      </c>
      <c r="G134" s="129">
        <v>549.39</v>
      </c>
      <c r="H134" s="129">
        <v>620.05</v>
      </c>
      <c r="I134" s="129">
        <v>635.73</v>
      </c>
      <c r="J134" s="129">
        <v>673.08</v>
      </c>
      <c r="K134" s="129">
        <v>513.2</v>
      </c>
      <c r="L134" s="129">
        <v>491.99</v>
      </c>
    </row>
    <row r="135" spans="1:12" ht="12.75" hidden="1">
      <c r="A135" s="129">
        <v>1430</v>
      </c>
      <c r="B135" s="129">
        <v>1449.99</v>
      </c>
      <c r="C135" s="129">
        <v>699.22</v>
      </c>
      <c r="D135" s="129">
        <v>717.7</v>
      </c>
      <c r="E135" s="129">
        <v>762.19</v>
      </c>
      <c r="F135" s="129">
        <v>577.95</v>
      </c>
      <c r="G135" s="129">
        <v>554.73</v>
      </c>
      <c r="H135" s="129">
        <v>626.17</v>
      </c>
      <c r="I135" s="129">
        <v>642.71</v>
      </c>
      <c r="J135" s="129">
        <v>682.56</v>
      </c>
      <c r="K135" s="129">
        <v>517.57</v>
      </c>
      <c r="L135" s="129">
        <v>496.78</v>
      </c>
    </row>
    <row r="136" spans="1:12" ht="12.75" hidden="1">
      <c r="A136" s="129">
        <v>1450</v>
      </c>
      <c r="B136" s="129">
        <v>1469.99</v>
      </c>
      <c r="C136" s="129">
        <v>706.12</v>
      </c>
      <c r="D136" s="129">
        <v>725.38</v>
      </c>
      <c r="E136" s="129">
        <v>772.78</v>
      </c>
      <c r="F136" s="129">
        <v>582.81</v>
      </c>
      <c r="G136" s="129">
        <v>560.37</v>
      </c>
      <c r="H136" s="129">
        <v>632.35</v>
      </c>
      <c r="I136" s="129">
        <v>649.59</v>
      </c>
      <c r="J136" s="129">
        <v>692.04</v>
      </c>
      <c r="K136" s="129">
        <v>521.92</v>
      </c>
      <c r="L136" s="129">
        <v>501.83</v>
      </c>
    </row>
    <row r="137" spans="1:12" ht="12.75" hidden="1">
      <c r="A137" s="129">
        <v>1470</v>
      </c>
      <c r="B137" s="129">
        <v>1489.99</v>
      </c>
      <c r="C137" s="129">
        <v>712.95</v>
      </c>
      <c r="D137" s="129">
        <v>733.06</v>
      </c>
      <c r="E137" s="129">
        <v>783.36</v>
      </c>
      <c r="F137" s="129">
        <v>587.69</v>
      </c>
      <c r="G137" s="129">
        <v>566.01</v>
      </c>
      <c r="H137" s="129">
        <v>638.47</v>
      </c>
      <c r="I137" s="129">
        <v>656.47</v>
      </c>
      <c r="J137" s="129">
        <v>701.52</v>
      </c>
      <c r="K137" s="129">
        <v>526.29</v>
      </c>
      <c r="L137" s="129">
        <v>506.87</v>
      </c>
    </row>
    <row r="138" spans="1:12" ht="12.75" hidden="1">
      <c r="A138" s="129">
        <v>1490</v>
      </c>
      <c r="B138" s="129">
        <v>1509.99</v>
      </c>
      <c r="C138" s="129">
        <v>719.78</v>
      </c>
      <c r="D138" s="129">
        <v>740.69</v>
      </c>
      <c r="E138" s="129">
        <v>793.95</v>
      </c>
      <c r="F138" s="129">
        <v>592.56</v>
      </c>
      <c r="G138" s="129">
        <v>571.77</v>
      </c>
      <c r="H138" s="129">
        <v>644.58</v>
      </c>
      <c r="I138" s="129">
        <v>663.3</v>
      </c>
      <c r="J138" s="129">
        <v>711</v>
      </c>
      <c r="K138" s="129">
        <v>530.65</v>
      </c>
      <c r="L138" s="129">
        <v>512.03</v>
      </c>
    </row>
    <row r="139" spans="1:12" ht="12.75" hidden="1">
      <c r="A139" s="129">
        <v>1510</v>
      </c>
      <c r="B139" s="129">
        <v>1529.99</v>
      </c>
      <c r="C139" s="129">
        <v>726.55</v>
      </c>
      <c r="D139" s="129">
        <v>747.79</v>
      </c>
      <c r="E139" s="129">
        <v>804.54</v>
      </c>
      <c r="F139" s="129">
        <v>597.79</v>
      </c>
      <c r="G139" s="129">
        <v>577.53</v>
      </c>
      <c r="H139" s="129">
        <v>650.64</v>
      </c>
      <c r="I139" s="129">
        <v>669.67</v>
      </c>
      <c r="J139" s="129">
        <v>720.48</v>
      </c>
      <c r="K139" s="129">
        <v>535.33</v>
      </c>
      <c r="L139" s="129">
        <v>517.19</v>
      </c>
    </row>
    <row r="140" spans="1:12" ht="12.75" hidden="1">
      <c r="A140" s="129">
        <v>1530</v>
      </c>
      <c r="B140" s="129">
        <v>1549.99</v>
      </c>
      <c r="C140" s="129">
        <v>733.72</v>
      </c>
      <c r="D140" s="129">
        <v>754.69</v>
      </c>
      <c r="E140" s="129">
        <v>815.12</v>
      </c>
      <c r="F140" s="129">
        <v>603.42</v>
      </c>
      <c r="G140" s="129">
        <v>583.28</v>
      </c>
      <c r="H140" s="129">
        <v>657.07</v>
      </c>
      <c r="I140" s="129">
        <v>675.85</v>
      </c>
      <c r="J140" s="129">
        <v>729.96</v>
      </c>
      <c r="K140" s="129">
        <v>540.38</v>
      </c>
      <c r="L140" s="129">
        <v>522.34</v>
      </c>
    </row>
    <row r="141" spans="1:12" ht="12.75" hidden="1">
      <c r="A141" s="129">
        <v>1550</v>
      </c>
      <c r="B141" s="129">
        <v>1569.99</v>
      </c>
      <c r="C141" s="129">
        <v>740.95</v>
      </c>
      <c r="D141" s="129">
        <v>761.53</v>
      </c>
      <c r="E141" s="129">
        <v>825.71</v>
      </c>
      <c r="F141" s="129">
        <v>609.18</v>
      </c>
      <c r="G141" s="129">
        <v>588.92</v>
      </c>
      <c r="H141" s="129">
        <v>663.54</v>
      </c>
      <c r="I141" s="129">
        <v>681.97</v>
      </c>
      <c r="J141" s="129">
        <v>739.44</v>
      </c>
      <c r="K141" s="129">
        <v>545.54</v>
      </c>
      <c r="L141" s="129">
        <v>527.39</v>
      </c>
    </row>
    <row r="142" spans="1:12" ht="12.75" hidden="1">
      <c r="A142" s="129">
        <v>1570</v>
      </c>
      <c r="B142" s="129">
        <v>1589.99</v>
      </c>
      <c r="C142" s="129">
        <v>748.18</v>
      </c>
      <c r="D142" s="129">
        <v>768.43</v>
      </c>
      <c r="E142" s="129">
        <v>836.29</v>
      </c>
      <c r="F142" s="129">
        <v>614.82</v>
      </c>
      <c r="G142" s="129">
        <v>594.79</v>
      </c>
      <c r="H142" s="129">
        <v>670.01</v>
      </c>
      <c r="I142" s="129">
        <v>688.15</v>
      </c>
      <c r="J142" s="129">
        <v>748.92</v>
      </c>
      <c r="K142" s="129">
        <v>550.58</v>
      </c>
      <c r="L142" s="129">
        <v>532.65</v>
      </c>
    </row>
    <row r="143" spans="1:12" ht="12.75" hidden="1">
      <c r="A143" s="129">
        <v>1590</v>
      </c>
      <c r="B143" s="129">
        <v>1609.99</v>
      </c>
      <c r="C143" s="129">
        <v>755.41</v>
      </c>
      <c r="D143" s="129">
        <v>775.26</v>
      </c>
      <c r="E143" s="129">
        <v>846.88</v>
      </c>
      <c r="F143" s="129">
        <v>620.58</v>
      </c>
      <c r="G143" s="129">
        <v>600.55</v>
      </c>
      <c r="H143" s="129">
        <v>676.49</v>
      </c>
      <c r="I143" s="129">
        <v>694.27</v>
      </c>
      <c r="J143" s="129">
        <v>758.4</v>
      </c>
      <c r="K143" s="129">
        <v>555.74</v>
      </c>
      <c r="L143" s="129">
        <v>537.8</v>
      </c>
    </row>
    <row r="144" spans="1:12" ht="12.75" hidden="1">
      <c r="A144" s="129">
        <v>1610</v>
      </c>
      <c r="B144" s="129">
        <v>1629.99</v>
      </c>
      <c r="C144" s="129">
        <v>762.57</v>
      </c>
      <c r="D144" s="129">
        <v>782.03</v>
      </c>
      <c r="E144" s="129">
        <v>857.47</v>
      </c>
      <c r="F144" s="129">
        <v>626.22</v>
      </c>
      <c r="G144" s="129">
        <v>606.42</v>
      </c>
      <c r="H144" s="129">
        <v>682.9</v>
      </c>
      <c r="I144" s="129">
        <v>700.33</v>
      </c>
      <c r="J144" s="129">
        <v>767.88</v>
      </c>
      <c r="K144" s="129">
        <v>560.79</v>
      </c>
      <c r="L144" s="129">
        <v>543.07</v>
      </c>
    </row>
    <row r="145" spans="1:12" ht="12.75" hidden="1">
      <c r="A145" s="129">
        <v>1630</v>
      </c>
      <c r="B145" s="129">
        <v>1649.99</v>
      </c>
      <c r="C145" s="129">
        <v>769.75</v>
      </c>
      <c r="D145" s="129">
        <v>788.88</v>
      </c>
      <c r="E145" s="129">
        <v>868.05</v>
      </c>
      <c r="F145" s="129">
        <v>632.08</v>
      </c>
      <c r="G145" s="129">
        <v>612.29</v>
      </c>
      <c r="H145" s="129">
        <v>689.33</v>
      </c>
      <c r="I145" s="129">
        <v>706.46</v>
      </c>
      <c r="J145" s="129">
        <v>777.36</v>
      </c>
      <c r="K145" s="129">
        <v>566.05</v>
      </c>
      <c r="L145" s="129">
        <v>548.32</v>
      </c>
    </row>
    <row r="146" spans="1:12" ht="12.75" hidden="1">
      <c r="A146" s="129">
        <v>1650</v>
      </c>
      <c r="B146" s="129">
        <v>1669.99</v>
      </c>
      <c r="C146" s="129">
        <v>776.92</v>
      </c>
      <c r="D146" s="129">
        <v>796.11</v>
      </c>
      <c r="E146" s="129">
        <v>878.64</v>
      </c>
      <c r="F146" s="129">
        <v>637.85</v>
      </c>
      <c r="G146" s="129">
        <v>618.17</v>
      </c>
      <c r="H146" s="129">
        <v>695.75</v>
      </c>
      <c r="I146" s="129">
        <v>712.94</v>
      </c>
      <c r="J146" s="129">
        <v>786.84</v>
      </c>
      <c r="K146" s="129">
        <v>571.21</v>
      </c>
      <c r="L146" s="129">
        <v>553.58</v>
      </c>
    </row>
    <row r="147" spans="1:12" ht="12.75" hidden="1">
      <c r="A147" s="129">
        <v>1670</v>
      </c>
      <c r="B147" s="129">
        <v>1689.99</v>
      </c>
      <c r="C147" s="129">
        <v>784.08</v>
      </c>
      <c r="D147" s="129">
        <v>803.34</v>
      </c>
      <c r="E147" s="129">
        <v>889.22</v>
      </c>
      <c r="F147" s="129">
        <v>643.72</v>
      </c>
      <c r="G147" s="129">
        <v>624.04</v>
      </c>
      <c r="H147" s="129">
        <v>702.16</v>
      </c>
      <c r="I147" s="129">
        <v>719.41</v>
      </c>
      <c r="J147" s="129">
        <v>796.32</v>
      </c>
      <c r="K147" s="129">
        <v>576.46</v>
      </c>
      <c r="L147" s="129">
        <v>558.85</v>
      </c>
    </row>
    <row r="148" spans="1:12" ht="12.75" hidden="1">
      <c r="A148" s="129">
        <v>1690</v>
      </c>
      <c r="B148" s="129">
        <v>1709.99</v>
      </c>
      <c r="C148" s="129">
        <v>791.2</v>
      </c>
      <c r="D148" s="129">
        <v>810.57</v>
      </c>
      <c r="E148" s="129">
        <v>898.47</v>
      </c>
      <c r="F148" s="129">
        <v>649.48</v>
      </c>
      <c r="G148" s="129">
        <v>629.91</v>
      </c>
      <c r="H148" s="129">
        <v>708.53</v>
      </c>
      <c r="I148" s="129">
        <v>725.89</v>
      </c>
      <c r="J148" s="129">
        <v>804.6</v>
      </c>
      <c r="K148" s="129">
        <v>581.62</v>
      </c>
      <c r="L148" s="129">
        <v>564.1</v>
      </c>
    </row>
    <row r="149" spans="1:12" ht="12.75" hidden="1">
      <c r="A149" s="129">
        <v>1710</v>
      </c>
      <c r="B149" s="129">
        <v>1729.99</v>
      </c>
      <c r="C149" s="129">
        <v>798.31</v>
      </c>
      <c r="D149" s="129">
        <v>817.8</v>
      </c>
      <c r="E149" s="129">
        <v>907.49</v>
      </c>
      <c r="F149" s="129">
        <v>655.35</v>
      </c>
      <c r="G149" s="129">
        <v>635.91</v>
      </c>
      <c r="H149" s="129">
        <v>714.9</v>
      </c>
      <c r="I149" s="129">
        <v>732.36</v>
      </c>
      <c r="J149" s="129">
        <v>812.68</v>
      </c>
      <c r="K149" s="129">
        <v>586.88</v>
      </c>
      <c r="L149" s="129">
        <v>569.47</v>
      </c>
    </row>
    <row r="150" spans="1:12" ht="12.75" hidden="1">
      <c r="A150" s="129">
        <v>1730</v>
      </c>
      <c r="B150" s="129">
        <v>1749.99</v>
      </c>
      <c r="C150" s="129">
        <v>805.41</v>
      </c>
      <c r="D150" s="129">
        <v>824.97</v>
      </c>
      <c r="E150" s="129">
        <v>916.41</v>
      </c>
      <c r="F150" s="129">
        <v>661.22</v>
      </c>
      <c r="G150" s="129">
        <v>641.9</v>
      </c>
      <c r="H150" s="129">
        <v>721.27</v>
      </c>
      <c r="I150" s="129">
        <v>738.78</v>
      </c>
      <c r="J150" s="129">
        <v>820.66</v>
      </c>
      <c r="K150" s="129">
        <v>592.13</v>
      </c>
      <c r="L150" s="129">
        <v>574.84</v>
      </c>
    </row>
    <row r="151" spans="1:12" ht="12.75" hidden="1">
      <c r="A151" s="129">
        <v>1750</v>
      </c>
      <c r="B151" s="129">
        <v>1769.99</v>
      </c>
      <c r="C151" s="129">
        <v>812.53</v>
      </c>
      <c r="D151" s="129">
        <v>832.15</v>
      </c>
      <c r="E151" s="129">
        <v>925.43</v>
      </c>
      <c r="F151" s="129">
        <v>667.1</v>
      </c>
      <c r="G151" s="129">
        <v>647.77</v>
      </c>
      <c r="H151" s="129">
        <v>727.64</v>
      </c>
      <c r="I151" s="129">
        <v>745.21</v>
      </c>
      <c r="J151" s="129">
        <v>828.74</v>
      </c>
      <c r="K151" s="129">
        <v>597.4</v>
      </c>
      <c r="L151" s="129">
        <v>580.09</v>
      </c>
    </row>
    <row r="152" spans="1:12" ht="12.75" hidden="1">
      <c r="A152" s="129">
        <v>1770</v>
      </c>
      <c r="B152" s="129">
        <v>1789.99</v>
      </c>
      <c r="C152" s="129">
        <v>819.64</v>
      </c>
      <c r="D152" s="129">
        <v>839.31</v>
      </c>
      <c r="E152" s="129">
        <v>934.34</v>
      </c>
      <c r="F152" s="129">
        <v>673.09</v>
      </c>
      <c r="G152" s="129">
        <v>653.65</v>
      </c>
      <c r="H152" s="129">
        <v>734</v>
      </c>
      <c r="I152" s="129">
        <v>751.62</v>
      </c>
      <c r="J152" s="129">
        <v>836.72</v>
      </c>
      <c r="K152" s="129">
        <v>602.77</v>
      </c>
      <c r="L152" s="129">
        <v>585.36</v>
      </c>
    </row>
    <row r="153" spans="1:12" ht="12.75" hidden="1">
      <c r="A153" s="129">
        <v>1790</v>
      </c>
      <c r="B153" s="129">
        <v>1809.99</v>
      </c>
      <c r="C153" s="129">
        <v>826.69</v>
      </c>
      <c r="D153" s="129">
        <v>846.48</v>
      </c>
      <c r="E153" s="129">
        <v>943.14</v>
      </c>
      <c r="F153" s="129">
        <v>678.96</v>
      </c>
      <c r="G153" s="129">
        <v>659.52</v>
      </c>
      <c r="H153" s="129">
        <v>740.32</v>
      </c>
      <c r="I153" s="129">
        <v>758.05</v>
      </c>
      <c r="J153" s="129">
        <v>844.6</v>
      </c>
      <c r="K153" s="129">
        <v>608.02</v>
      </c>
      <c r="L153" s="129">
        <v>590.62</v>
      </c>
    </row>
    <row r="154" spans="1:12" ht="12.75" hidden="1">
      <c r="A154" s="129">
        <v>1810</v>
      </c>
      <c r="B154" s="129">
        <v>1829.99</v>
      </c>
      <c r="C154" s="129">
        <v>833.74</v>
      </c>
      <c r="D154" s="129">
        <v>853.59</v>
      </c>
      <c r="E154" s="129">
        <v>952.05</v>
      </c>
      <c r="F154" s="129">
        <v>684.83</v>
      </c>
      <c r="G154" s="129">
        <v>665.28</v>
      </c>
      <c r="H154" s="129">
        <v>746.63</v>
      </c>
      <c r="I154" s="129">
        <v>764.41</v>
      </c>
      <c r="J154" s="129">
        <v>852.58</v>
      </c>
      <c r="K154" s="129">
        <v>613.28</v>
      </c>
      <c r="L154" s="129">
        <v>595.77</v>
      </c>
    </row>
    <row r="155" spans="1:12" ht="12.75" hidden="1">
      <c r="A155" s="129">
        <v>1830</v>
      </c>
      <c r="B155" s="129">
        <v>1849.99</v>
      </c>
      <c r="C155" s="129">
        <v>840.74</v>
      </c>
      <c r="D155" s="129">
        <v>860.71</v>
      </c>
      <c r="E155" s="129">
        <v>960.96</v>
      </c>
      <c r="F155" s="129">
        <v>690.82</v>
      </c>
      <c r="G155" s="129">
        <v>671.03</v>
      </c>
      <c r="H155" s="129">
        <v>752.9</v>
      </c>
      <c r="I155" s="129">
        <v>770.78</v>
      </c>
      <c r="J155" s="129">
        <v>860.56</v>
      </c>
      <c r="K155" s="129">
        <v>618.65</v>
      </c>
      <c r="L155" s="129">
        <v>600.92</v>
      </c>
    </row>
    <row r="156" spans="1:12" ht="12.75" hidden="1">
      <c r="A156" s="129">
        <v>1850</v>
      </c>
      <c r="B156" s="129">
        <v>1869.99</v>
      </c>
      <c r="C156" s="129">
        <v>848.03</v>
      </c>
      <c r="D156" s="129">
        <v>868.05</v>
      </c>
      <c r="E156" s="129">
        <v>969.76</v>
      </c>
      <c r="F156" s="129">
        <v>696.93</v>
      </c>
      <c r="G156" s="129">
        <v>677.14</v>
      </c>
      <c r="H156" s="129">
        <v>759.43</v>
      </c>
      <c r="I156" s="129">
        <v>777.35</v>
      </c>
      <c r="J156" s="129">
        <v>868.44</v>
      </c>
      <c r="K156" s="129">
        <v>624.12</v>
      </c>
      <c r="L156" s="129">
        <v>606.4</v>
      </c>
    </row>
    <row r="157" spans="1:12" ht="12.75" hidden="1">
      <c r="A157" s="129">
        <v>1870</v>
      </c>
      <c r="B157" s="129">
        <v>1889.99</v>
      </c>
      <c r="C157" s="129">
        <v>855.31</v>
      </c>
      <c r="D157" s="129">
        <v>875.46</v>
      </c>
      <c r="E157" s="129">
        <v>978.56</v>
      </c>
      <c r="F157" s="129">
        <v>703.16</v>
      </c>
      <c r="G157" s="129">
        <v>683.25</v>
      </c>
      <c r="H157" s="129">
        <v>765.95</v>
      </c>
      <c r="I157" s="129">
        <v>783.99</v>
      </c>
      <c r="J157" s="129">
        <v>876.32</v>
      </c>
      <c r="K157" s="129">
        <v>629.69</v>
      </c>
      <c r="L157" s="129">
        <v>611.87</v>
      </c>
    </row>
    <row r="158" spans="1:12" ht="12.75" hidden="1">
      <c r="A158" s="129">
        <v>1890</v>
      </c>
      <c r="B158" s="129">
        <v>1909.99</v>
      </c>
      <c r="C158" s="129">
        <v>862.66</v>
      </c>
      <c r="D158" s="129">
        <v>882.8</v>
      </c>
      <c r="E158" s="129">
        <v>987.36</v>
      </c>
      <c r="F158" s="129">
        <v>709.5</v>
      </c>
      <c r="G158" s="129">
        <v>689.36</v>
      </c>
      <c r="H158" s="129">
        <v>772.53</v>
      </c>
      <c r="I158" s="129">
        <v>790.57</v>
      </c>
      <c r="J158" s="129">
        <v>884.2</v>
      </c>
      <c r="K158" s="129">
        <v>635.38</v>
      </c>
      <c r="L158" s="129">
        <v>617.33</v>
      </c>
    </row>
    <row r="159" spans="1:12" ht="12.75" hidden="1">
      <c r="A159" s="129">
        <v>1910</v>
      </c>
      <c r="B159" s="129">
        <v>1929.99</v>
      </c>
      <c r="C159" s="129">
        <v>869.94</v>
      </c>
      <c r="D159" s="129">
        <v>890.21</v>
      </c>
      <c r="E159" s="129">
        <v>996.16</v>
      </c>
      <c r="F159" s="129">
        <v>715.73</v>
      </c>
      <c r="G159" s="129">
        <v>695.59</v>
      </c>
      <c r="H159" s="129">
        <v>779.05</v>
      </c>
      <c r="I159" s="129">
        <v>797.2</v>
      </c>
      <c r="J159" s="129">
        <v>892.08</v>
      </c>
      <c r="K159" s="129">
        <v>640.96</v>
      </c>
      <c r="L159" s="129">
        <v>622.91</v>
      </c>
    </row>
    <row r="160" spans="1:12" ht="12.75" hidden="1">
      <c r="A160" s="129">
        <v>1930</v>
      </c>
      <c r="B160" s="129">
        <v>1949.99</v>
      </c>
      <c r="C160" s="129">
        <v>877.23</v>
      </c>
      <c r="D160" s="129">
        <v>897.55</v>
      </c>
      <c r="E160" s="129">
        <v>1004.96</v>
      </c>
      <c r="F160" s="129">
        <v>721.84</v>
      </c>
      <c r="G160" s="129">
        <v>701.58</v>
      </c>
      <c r="H160" s="129">
        <v>785.58</v>
      </c>
      <c r="I160" s="129">
        <v>803.78</v>
      </c>
      <c r="J160" s="129">
        <v>899.96</v>
      </c>
      <c r="K160" s="129">
        <v>646.42</v>
      </c>
      <c r="L160" s="129">
        <v>628.28</v>
      </c>
    </row>
    <row r="161" spans="1:12" ht="12.75" hidden="1">
      <c r="A161" s="129">
        <v>1950</v>
      </c>
      <c r="B161" s="129">
        <v>1969.99</v>
      </c>
      <c r="C161" s="129">
        <v>884.52</v>
      </c>
      <c r="D161" s="129">
        <v>904.9</v>
      </c>
      <c r="E161" s="129">
        <v>1013.64</v>
      </c>
      <c r="F161" s="129">
        <v>728.07</v>
      </c>
      <c r="G161" s="129">
        <v>707.69</v>
      </c>
      <c r="H161" s="129">
        <v>792.11</v>
      </c>
      <c r="I161" s="129">
        <v>810.35</v>
      </c>
      <c r="J161" s="129">
        <v>907.74</v>
      </c>
      <c r="K161" s="129">
        <v>652</v>
      </c>
      <c r="L161" s="129">
        <v>633.75</v>
      </c>
    </row>
    <row r="162" spans="1:12" ht="12.75" hidden="1">
      <c r="A162" s="129">
        <v>1970</v>
      </c>
      <c r="B162" s="129">
        <v>1989.99</v>
      </c>
      <c r="C162" s="129">
        <v>891.8</v>
      </c>
      <c r="D162" s="129">
        <v>912.3</v>
      </c>
      <c r="E162" s="129">
        <v>1022.33</v>
      </c>
      <c r="F162" s="129">
        <v>734.29</v>
      </c>
      <c r="G162" s="129">
        <v>713.8</v>
      </c>
      <c r="H162" s="129">
        <v>798.63</v>
      </c>
      <c r="I162" s="129">
        <v>816.98</v>
      </c>
      <c r="J162" s="129">
        <v>915.52</v>
      </c>
      <c r="K162" s="129">
        <v>657.58</v>
      </c>
      <c r="L162" s="129">
        <v>639.22</v>
      </c>
    </row>
    <row r="163" spans="1:12" ht="12.75" hidden="1">
      <c r="A163" s="129">
        <v>1990</v>
      </c>
      <c r="B163" s="129">
        <v>2009.99</v>
      </c>
      <c r="C163" s="129">
        <v>899.03</v>
      </c>
      <c r="D163" s="129">
        <v>919.6</v>
      </c>
      <c r="E163" s="129">
        <v>1031.02</v>
      </c>
      <c r="F163" s="129">
        <v>740.29</v>
      </c>
      <c r="G163" s="129">
        <v>719.79</v>
      </c>
      <c r="H163" s="129">
        <v>805.1</v>
      </c>
      <c r="I163" s="129">
        <v>823.52</v>
      </c>
      <c r="J163" s="129">
        <v>923.3</v>
      </c>
      <c r="K163" s="129">
        <v>662.95</v>
      </c>
      <c r="L163" s="129">
        <v>644.59</v>
      </c>
    </row>
    <row r="164" spans="1:12" ht="12.75" hidden="1">
      <c r="A164" s="129">
        <v>2010</v>
      </c>
      <c r="B164" s="129">
        <v>2029.99</v>
      </c>
      <c r="C164" s="129">
        <v>906.32</v>
      </c>
      <c r="D164" s="129">
        <v>926.94</v>
      </c>
      <c r="E164" s="129">
        <v>1039.71</v>
      </c>
      <c r="F164" s="129">
        <v>746.4</v>
      </c>
      <c r="G164" s="129">
        <v>725.78</v>
      </c>
      <c r="H164" s="129">
        <v>811.63</v>
      </c>
      <c r="I164" s="129">
        <v>830.09</v>
      </c>
      <c r="J164" s="129">
        <v>931.08</v>
      </c>
      <c r="K164" s="129">
        <v>668.42</v>
      </c>
      <c r="L164" s="129">
        <v>649.95</v>
      </c>
    </row>
    <row r="165" spans="1:12" ht="12.75" hidden="1">
      <c r="A165" s="129">
        <v>2030</v>
      </c>
      <c r="B165" s="129">
        <v>2049.99</v>
      </c>
      <c r="C165" s="129">
        <v>913.55</v>
      </c>
      <c r="D165" s="129">
        <v>934.23</v>
      </c>
      <c r="E165" s="129">
        <v>1048.4</v>
      </c>
      <c r="F165" s="129">
        <v>752.5</v>
      </c>
      <c r="G165" s="129">
        <v>731.77</v>
      </c>
      <c r="H165" s="129">
        <v>818.11</v>
      </c>
      <c r="I165" s="129">
        <v>836.62</v>
      </c>
      <c r="J165" s="129">
        <v>938.86</v>
      </c>
      <c r="K165" s="129">
        <v>673.88</v>
      </c>
      <c r="L165" s="129">
        <v>655.32</v>
      </c>
    </row>
    <row r="166" spans="1:12" ht="12.75" hidden="1">
      <c r="A166" s="129">
        <v>2050</v>
      </c>
      <c r="B166" s="129">
        <v>2069.99</v>
      </c>
      <c r="C166" s="129">
        <v>920.78</v>
      </c>
      <c r="D166" s="129">
        <v>941.51</v>
      </c>
      <c r="E166" s="129">
        <v>1056.97</v>
      </c>
      <c r="F166" s="129">
        <v>758.73</v>
      </c>
      <c r="G166" s="129">
        <v>737.64</v>
      </c>
      <c r="H166" s="129">
        <v>824.58</v>
      </c>
      <c r="I166" s="129">
        <v>843.14</v>
      </c>
      <c r="J166" s="129">
        <v>946.54</v>
      </c>
      <c r="K166" s="129">
        <v>679.46</v>
      </c>
      <c r="L166" s="129">
        <v>660.58</v>
      </c>
    </row>
    <row r="167" spans="1:12" ht="12.75" hidden="1">
      <c r="A167" s="129">
        <v>2070</v>
      </c>
      <c r="B167" s="129">
        <v>2089.99</v>
      </c>
      <c r="C167" s="129">
        <v>927.94</v>
      </c>
      <c r="D167" s="129">
        <v>948.8</v>
      </c>
      <c r="E167" s="129">
        <v>1065.55</v>
      </c>
      <c r="F167" s="129">
        <v>764.72</v>
      </c>
      <c r="G167" s="129">
        <v>743.63</v>
      </c>
      <c r="H167" s="129">
        <v>830.99</v>
      </c>
      <c r="I167" s="129">
        <v>849.67</v>
      </c>
      <c r="J167" s="129">
        <v>954.22</v>
      </c>
      <c r="K167" s="129">
        <v>684.83</v>
      </c>
      <c r="L167" s="129">
        <v>665.94</v>
      </c>
    </row>
    <row r="168" spans="1:12" ht="12.75" hidden="1">
      <c r="A168" s="129">
        <v>2090</v>
      </c>
      <c r="B168" s="129">
        <v>2109.99</v>
      </c>
      <c r="C168" s="129">
        <v>935.17</v>
      </c>
      <c r="D168" s="129">
        <v>956.09</v>
      </c>
      <c r="E168" s="129">
        <v>1073.9</v>
      </c>
      <c r="F168" s="129">
        <v>770.6</v>
      </c>
      <c r="G168" s="129">
        <v>749.52</v>
      </c>
      <c r="H168" s="129">
        <v>837.47</v>
      </c>
      <c r="I168" s="129">
        <v>856.2</v>
      </c>
      <c r="J168" s="129">
        <v>961.7</v>
      </c>
      <c r="K168" s="129">
        <v>690.09</v>
      </c>
      <c r="L168" s="129">
        <v>671.21</v>
      </c>
    </row>
    <row r="169" spans="1:12" ht="12.75" hidden="1">
      <c r="A169" s="129">
        <v>2110</v>
      </c>
      <c r="B169" s="129">
        <v>2129.99</v>
      </c>
      <c r="C169" s="129">
        <v>942.35</v>
      </c>
      <c r="D169" s="129">
        <v>963.32</v>
      </c>
      <c r="E169" s="129">
        <v>1082.25</v>
      </c>
      <c r="F169" s="129">
        <v>776.71</v>
      </c>
      <c r="G169" s="129">
        <v>755.38</v>
      </c>
      <c r="H169" s="129">
        <v>843.89</v>
      </c>
      <c r="I169" s="129">
        <v>862.67</v>
      </c>
      <c r="J169" s="129">
        <v>969.18</v>
      </c>
      <c r="K169" s="129">
        <v>695.56</v>
      </c>
      <c r="L169" s="129">
        <v>676.46</v>
      </c>
    </row>
    <row r="170" spans="1:12" ht="12.75" hidden="1">
      <c r="A170" s="129">
        <v>2130</v>
      </c>
      <c r="B170" s="129">
        <v>2149.99</v>
      </c>
      <c r="C170" s="129">
        <v>949.52</v>
      </c>
      <c r="D170" s="129">
        <v>970.6</v>
      </c>
      <c r="E170" s="129">
        <v>1090.49</v>
      </c>
      <c r="F170" s="129">
        <v>782.58</v>
      </c>
      <c r="G170" s="129">
        <v>761.25</v>
      </c>
      <c r="H170" s="129">
        <v>850.31</v>
      </c>
      <c r="I170" s="129">
        <v>869.2</v>
      </c>
      <c r="J170" s="129">
        <v>976.56</v>
      </c>
      <c r="K170" s="129">
        <v>700.82</v>
      </c>
      <c r="L170" s="129">
        <v>681.72</v>
      </c>
    </row>
    <row r="171" spans="1:12" ht="12.75" hidden="1">
      <c r="A171" s="129">
        <v>2150</v>
      </c>
      <c r="B171" s="129">
        <v>2169.99</v>
      </c>
      <c r="C171" s="129">
        <v>956.68</v>
      </c>
      <c r="D171" s="129">
        <v>977.83</v>
      </c>
      <c r="E171" s="129">
        <v>1098.73</v>
      </c>
      <c r="F171" s="129">
        <v>788.57</v>
      </c>
      <c r="G171" s="129">
        <v>767.14</v>
      </c>
      <c r="H171" s="129">
        <v>856.73</v>
      </c>
      <c r="I171" s="129">
        <v>875.67</v>
      </c>
      <c r="J171" s="129">
        <v>983.94</v>
      </c>
      <c r="K171" s="129">
        <v>706.18</v>
      </c>
      <c r="L171" s="129">
        <v>686.99</v>
      </c>
    </row>
    <row r="172" spans="1:12" ht="12.75" hidden="1">
      <c r="A172" s="129">
        <v>2170</v>
      </c>
      <c r="B172" s="129">
        <v>2189.99</v>
      </c>
      <c r="C172" s="129">
        <v>963.86</v>
      </c>
      <c r="D172" s="129">
        <v>985.06</v>
      </c>
      <c r="E172" s="129">
        <v>1106.87</v>
      </c>
      <c r="F172" s="129">
        <v>794.57</v>
      </c>
      <c r="G172" s="129">
        <v>772.89</v>
      </c>
      <c r="H172" s="129">
        <v>863.15</v>
      </c>
      <c r="I172" s="129">
        <v>882.14</v>
      </c>
      <c r="J172" s="129">
        <v>991.22</v>
      </c>
      <c r="K172" s="129">
        <v>711.55</v>
      </c>
      <c r="L172" s="129">
        <v>692.14</v>
      </c>
    </row>
    <row r="173" spans="1:12" ht="12.75" hidden="1">
      <c r="A173" s="129">
        <v>2190</v>
      </c>
      <c r="B173" s="129">
        <v>2209.99</v>
      </c>
      <c r="C173" s="129">
        <v>970.96</v>
      </c>
      <c r="D173" s="129">
        <v>992.29</v>
      </c>
      <c r="E173" s="129">
        <v>1115.11</v>
      </c>
      <c r="F173" s="129">
        <v>800.44</v>
      </c>
      <c r="G173" s="129">
        <v>778.76</v>
      </c>
      <c r="H173" s="129">
        <v>869.52</v>
      </c>
      <c r="I173" s="129">
        <v>888.62</v>
      </c>
      <c r="J173" s="129">
        <v>998.6</v>
      </c>
      <c r="K173" s="129">
        <v>716.81</v>
      </c>
      <c r="L173" s="129">
        <v>697.4</v>
      </c>
    </row>
    <row r="174" spans="1:12" ht="12.75" hidden="1">
      <c r="A174" s="129">
        <v>2210</v>
      </c>
      <c r="B174" s="129">
        <v>2229.99</v>
      </c>
      <c r="C174" s="129">
        <v>978.08</v>
      </c>
      <c r="D174" s="129">
        <v>999.46</v>
      </c>
      <c r="E174" s="129">
        <v>1123.23</v>
      </c>
      <c r="F174" s="129">
        <v>806.31</v>
      </c>
      <c r="G174" s="129">
        <v>784.4</v>
      </c>
      <c r="H174" s="129">
        <v>875.89</v>
      </c>
      <c r="I174" s="129">
        <v>895.04</v>
      </c>
      <c r="J174" s="129">
        <v>1005.88</v>
      </c>
      <c r="K174" s="129">
        <v>722.07</v>
      </c>
      <c r="L174" s="129">
        <v>702.45</v>
      </c>
    </row>
    <row r="175" spans="1:12" ht="12.75" hidden="1">
      <c r="A175" s="129">
        <v>2230</v>
      </c>
      <c r="B175" s="129">
        <v>2249.99</v>
      </c>
      <c r="C175" s="129">
        <v>985.19</v>
      </c>
      <c r="D175" s="129">
        <v>1006.63</v>
      </c>
      <c r="E175" s="129">
        <v>1131.25</v>
      </c>
      <c r="F175" s="129">
        <v>812.07</v>
      </c>
      <c r="G175" s="129">
        <v>790.15</v>
      </c>
      <c r="H175" s="129">
        <v>882.26</v>
      </c>
      <c r="I175" s="129">
        <v>901.46</v>
      </c>
      <c r="J175" s="129">
        <v>1013.06</v>
      </c>
      <c r="K175" s="129">
        <v>727.22</v>
      </c>
      <c r="L175" s="129">
        <v>707.6</v>
      </c>
    </row>
    <row r="176" spans="1:12" ht="12.75" hidden="1">
      <c r="A176" s="129">
        <v>2250</v>
      </c>
      <c r="B176" s="129">
        <v>2269.99</v>
      </c>
      <c r="C176" s="129">
        <v>992.3</v>
      </c>
      <c r="D176" s="129">
        <v>1013.8</v>
      </c>
      <c r="E176" s="129">
        <v>1139.38</v>
      </c>
      <c r="F176" s="129">
        <v>817.94</v>
      </c>
      <c r="G176" s="129">
        <v>795.91</v>
      </c>
      <c r="H176" s="129">
        <v>888.62</v>
      </c>
      <c r="I176" s="129">
        <v>907.88</v>
      </c>
      <c r="J176" s="129">
        <v>1020.34</v>
      </c>
      <c r="K176" s="129">
        <v>732.49</v>
      </c>
      <c r="L176" s="129">
        <v>712.76</v>
      </c>
    </row>
    <row r="177" spans="1:12" ht="12.75" hidden="1">
      <c r="A177" s="129">
        <v>2270</v>
      </c>
      <c r="B177" s="129">
        <v>2289.99</v>
      </c>
      <c r="C177" s="129">
        <v>999.41</v>
      </c>
      <c r="D177" s="129">
        <v>1021.03</v>
      </c>
      <c r="E177" s="129">
        <v>1147.4</v>
      </c>
      <c r="F177" s="129">
        <v>823.69</v>
      </c>
      <c r="G177" s="129">
        <v>801.67</v>
      </c>
      <c r="H177" s="129">
        <v>895</v>
      </c>
      <c r="I177" s="129">
        <v>914.35</v>
      </c>
      <c r="J177" s="129">
        <v>1027.52</v>
      </c>
      <c r="K177" s="129">
        <v>737.63</v>
      </c>
      <c r="L177" s="129">
        <v>717.91</v>
      </c>
    </row>
    <row r="178" spans="1:12" ht="12.75" hidden="1">
      <c r="A178" s="129">
        <v>2290</v>
      </c>
      <c r="B178" s="129">
        <v>2309.99</v>
      </c>
      <c r="C178" s="129">
        <v>1006.52</v>
      </c>
      <c r="D178" s="129">
        <v>1028.14</v>
      </c>
      <c r="E178" s="129">
        <v>1155.53</v>
      </c>
      <c r="F178" s="129">
        <v>829.57</v>
      </c>
      <c r="G178" s="129">
        <v>807.31</v>
      </c>
      <c r="H178" s="129">
        <v>901.36</v>
      </c>
      <c r="I178" s="129">
        <v>920.72</v>
      </c>
      <c r="J178" s="129">
        <v>1034.8</v>
      </c>
      <c r="K178" s="129">
        <v>742.9</v>
      </c>
      <c r="L178" s="129">
        <v>722.96</v>
      </c>
    </row>
    <row r="179" spans="1:12" ht="12.75" hidden="1">
      <c r="A179" s="129">
        <v>2310</v>
      </c>
      <c r="B179" s="129">
        <v>2329.99</v>
      </c>
      <c r="C179" s="129">
        <v>1013.57</v>
      </c>
      <c r="D179" s="129">
        <v>1035.3</v>
      </c>
      <c r="E179" s="129">
        <v>1163.43</v>
      </c>
      <c r="F179" s="129">
        <v>835.21</v>
      </c>
      <c r="G179" s="129">
        <v>812.94</v>
      </c>
      <c r="H179" s="129">
        <v>907.67</v>
      </c>
      <c r="I179" s="129">
        <v>927.14</v>
      </c>
      <c r="J179" s="129">
        <v>1041.88</v>
      </c>
      <c r="K179" s="129">
        <v>747.95</v>
      </c>
      <c r="L179" s="129">
        <v>728.01</v>
      </c>
    </row>
    <row r="180" spans="1:12" ht="12.75" hidden="1">
      <c r="A180" s="129">
        <v>2330</v>
      </c>
      <c r="B180" s="129">
        <v>2349.99</v>
      </c>
      <c r="C180" s="129">
        <v>1020.62</v>
      </c>
      <c r="D180" s="129">
        <v>1042.41</v>
      </c>
      <c r="E180" s="129">
        <v>1171.45</v>
      </c>
      <c r="F180" s="129">
        <v>840.96</v>
      </c>
      <c r="G180" s="129">
        <v>818.47</v>
      </c>
      <c r="H180" s="129">
        <v>913.99</v>
      </c>
      <c r="I180" s="129">
        <v>933.5</v>
      </c>
      <c r="J180" s="129">
        <v>1049.06</v>
      </c>
      <c r="K180" s="129">
        <v>753.1</v>
      </c>
      <c r="L180" s="129">
        <v>732.95</v>
      </c>
    </row>
    <row r="181" spans="1:12" ht="12.75" hidden="1">
      <c r="A181" s="129">
        <v>2350</v>
      </c>
      <c r="B181" s="129">
        <v>2369.99</v>
      </c>
      <c r="C181" s="129">
        <v>1027.67</v>
      </c>
      <c r="D181" s="129">
        <v>1049.53</v>
      </c>
      <c r="E181" s="129">
        <v>1179.36</v>
      </c>
      <c r="F181" s="129">
        <v>846.6</v>
      </c>
      <c r="G181" s="129">
        <v>824.22</v>
      </c>
      <c r="H181" s="129">
        <v>920.3</v>
      </c>
      <c r="I181" s="129">
        <v>939.88</v>
      </c>
      <c r="J181" s="129">
        <v>1056.14</v>
      </c>
      <c r="K181" s="129">
        <v>758.15</v>
      </c>
      <c r="L181" s="129">
        <v>738.11</v>
      </c>
    </row>
    <row r="182" spans="1:12" ht="12.75" hidden="1">
      <c r="A182" s="129">
        <v>2370</v>
      </c>
      <c r="B182" s="129">
        <v>2389.99</v>
      </c>
      <c r="C182" s="129">
        <v>1034.67</v>
      </c>
      <c r="D182" s="129">
        <v>1056.64</v>
      </c>
      <c r="E182" s="129">
        <v>1187.37</v>
      </c>
      <c r="F182" s="129">
        <v>852.36</v>
      </c>
      <c r="G182" s="129">
        <v>829.74</v>
      </c>
      <c r="H182" s="129">
        <v>926.57</v>
      </c>
      <c r="I182" s="129">
        <v>946.24</v>
      </c>
      <c r="J182" s="129">
        <v>1063.32</v>
      </c>
      <c r="K182" s="129">
        <v>763.31</v>
      </c>
      <c r="L182" s="129">
        <v>743.05</v>
      </c>
    </row>
    <row r="183" spans="1:12" ht="12.75" hidden="1">
      <c r="A183" s="129">
        <v>2390</v>
      </c>
      <c r="B183" s="129">
        <v>2409.99</v>
      </c>
      <c r="C183" s="129">
        <v>1041.72</v>
      </c>
      <c r="D183" s="129">
        <v>1063.75</v>
      </c>
      <c r="E183" s="129">
        <v>1195.28</v>
      </c>
      <c r="F183" s="129">
        <v>858</v>
      </c>
      <c r="G183" s="129">
        <v>835.26</v>
      </c>
      <c r="H183" s="129">
        <v>932.89</v>
      </c>
      <c r="I183" s="129">
        <v>952.61</v>
      </c>
      <c r="J183" s="129">
        <v>1070.4</v>
      </c>
      <c r="K183" s="129">
        <v>768.35</v>
      </c>
      <c r="L183" s="129">
        <v>747.99</v>
      </c>
    </row>
    <row r="184" spans="1:12" ht="12.75" hidden="1">
      <c r="A184" s="129">
        <v>2410</v>
      </c>
      <c r="B184" s="129">
        <v>2429.99</v>
      </c>
      <c r="C184" s="129">
        <v>1048.71</v>
      </c>
      <c r="D184" s="129">
        <v>1070.8</v>
      </c>
      <c r="E184" s="129">
        <v>1203.08</v>
      </c>
      <c r="F184" s="129">
        <v>863.64</v>
      </c>
      <c r="G184" s="129">
        <v>840.78</v>
      </c>
      <c r="H184" s="129">
        <v>939.14</v>
      </c>
      <c r="I184" s="129">
        <v>958.93</v>
      </c>
      <c r="J184" s="129">
        <v>1077.38</v>
      </c>
      <c r="K184" s="129">
        <v>773.41</v>
      </c>
      <c r="L184" s="129">
        <v>752.94</v>
      </c>
    </row>
    <row r="185" spans="1:12" ht="12.75" hidden="1">
      <c r="A185" s="129">
        <v>2430</v>
      </c>
      <c r="B185" s="129">
        <v>2449.99</v>
      </c>
      <c r="C185" s="129">
        <v>1055.71</v>
      </c>
      <c r="D185" s="129">
        <v>1077.92</v>
      </c>
      <c r="E185" s="129">
        <v>1210.98</v>
      </c>
      <c r="F185" s="129">
        <v>869.15</v>
      </c>
      <c r="G185" s="129">
        <v>846.3</v>
      </c>
      <c r="H185" s="129">
        <v>945.41</v>
      </c>
      <c r="I185" s="129">
        <v>965.3</v>
      </c>
      <c r="J185" s="129">
        <v>1084.46</v>
      </c>
      <c r="K185" s="129">
        <v>778.34</v>
      </c>
      <c r="L185" s="129">
        <v>757.88</v>
      </c>
    </row>
    <row r="186" spans="1:12" ht="12.75" hidden="1">
      <c r="A186" s="129">
        <v>2450</v>
      </c>
      <c r="B186" s="129">
        <v>2469.99</v>
      </c>
      <c r="C186" s="129">
        <v>1062.7</v>
      </c>
      <c r="D186" s="129">
        <v>1084.96</v>
      </c>
      <c r="E186" s="129">
        <v>1218.78</v>
      </c>
      <c r="F186" s="129">
        <v>874.91</v>
      </c>
      <c r="G186" s="129">
        <v>851.82</v>
      </c>
      <c r="H186" s="129">
        <v>951.67</v>
      </c>
      <c r="I186" s="129">
        <v>971.61</v>
      </c>
      <c r="J186" s="129">
        <v>1091.44</v>
      </c>
      <c r="K186" s="129">
        <v>783.5</v>
      </c>
      <c r="L186" s="129">
        <v>762.82</v>
      </c>
    </row>
    <row r="187" spans="1:12" ht="12.75" hidden="1">
      <c r="A187" s="129">
        <v>2470</v>
      </c>
      <c r="B187" s="129">
        <v>2489.99</v>
      </c>
      <c r="C187" s="129">
        <v>1069.69</v>
      </c>
      <c r="D187" s="129">
        <v>1092.02</v>
      </c>
      <c r="E187" s="129">
        <v>1226.57</v>
      </c>
      <c r="F187" s="129">
        <v>880.31</v>
      </c>
      <c r="G187" s="129">
        <v>857.22</v>
      </c>
      <c r="H187" s="129">
        <v>957.93</v>
      </c>
      <c r="I187" s="129">
        <v>977.93</v>
      </c>
      <c r="J187" s="129">
        <v>1098.42</v>
      </c>
      <c r="K187" s="129">
        <v>788.34</v>
      </c>
      <c r="L187" s="129">
        <v>767.66</v>
      </c>
    </row>
    <row r="188" spans="1:12" ht="12.75" hidden="1">
      <c r="A188" s="129">
        <v>2490</v>
      </c>
      <c r="B188" s="129">
        <v>2509.99</v>
      </c>
      <c r="C188" s="129">
        <v>1076.62</v>
      </c>
      <c r="D188" s="129">
        <v>1099.01</v>
      </c>
      <c r="E188" s="129">
        <v>1234.25</v>
      </c>
      <c r="F188" s="129">
        <v>885.95</v>
      </c>
      <c r="G188" s="129">
        <v>862.63</v>
      </c>
      <c r="H188" s="129">
        <v>964.14</v>
      </c>
      <c r="I188" s="129">
        <v>984.19</v>
      </c>
      <c r="J188" s="129">
        <v>1105.3</v>
      </c>
      <c r="K188" s="129">
        <v>793.39</v>
      </c>
      <c r="L188" s="129">
        <v>772.5</v>
      </c>
    </row>
    <row r="189" spans="1:12" ht="12.75" hidden="1">
      <c r="A189" s="129">
        <v>2510</v>
      </c>
      <c r="B189" s="129">
        <v>2529.99</v>
      </c>
      <c r="C189" s="129">
        <v>1083.56</v>
      </c>
      <c r="D189" s="129">
        <v>1106.06</v>
      </c>
      <c r="E189" s="129">
        <v>1242.05</v>
      </c>
      <c r="F189" s="129">
        <v>891.47</v>
      </c>
      <c r="G189" s="129">
        <v>868.03</v>
      </c>
      <c r="H189" s="129">
        <v>970.35</v>
      </c>
      <c r="I189" s="129">
        <v>990.5</v>
      </c>
      <c r="J189" s="129">
        <v>1112.28</v>
      </c>
      <c r="K189" s="129">
        <v>798.33</v>
      </c>
      <c r="L189" s="129">
        <v>777.34</v>
      </c>
    </row>
    <row r="190" spans="1:12" ht="12.75" hidden="1">
      <c r="A190" s="129">
        <v>2530</v>
      </c>
      <c r="B190" s="129">
        <v>2549.99</v>
      </c>
      <c r="C190" s="129">
        <v>1090.49</v>
      </c>
      <c r="D190" s="129">
        <v>1113.05</v>
      </c>
      <c r="E190" s="129">
        <v>1249.73</v>
      </c>
      <c r="F190" s="129">
        <v>896.99</v>
      </c>
      <c r="G190" s="129">
        <v>873.37</v>
      </c>
      <c r="H190" s="129">
        <v>976.56</v>
      </c>
      <c r="I190" s="129">
        <v>996.76</v>
      </c>
      <c r="J190" s="129">
        <v>1119.16</v>
      </c>
      <c r="K190" s="129">
        <v>803.27</v>
      </c>
      <c r="L190" s="129">
        <v>782.12</v>
      </c>
    </row>
    <row r="191" spans="1:12" ht="12.75" hidden="1">
      <c r="A191" s="129">
        <v>2550</v>
      </c>
      <c r="B191" s="129">
        <v>2569.99</v>
      </c>
      <c r="C191" s="129">
        <v>1097.43</v>
      </c>
      <c r="D191" s="129">
        <v>1120.05</v>
      </c>
      <c r="E191" s="129">
        <v>1257.42</v>
      </c>
      <c r="F191" s="129">
        <v>902.4</v>
      </c>
      <c r="G191" s="129">
        <v>878.77</v>
      </c>
      <c r="H191" s="129">
        <v>982.77</v>
      </c>
      <c r="I191" s="129">
        <v>1003.03</v>
      </c>
      <c r="J191" s="129">
        <v>1126.04</v>
      </c>
      <c r="K191" s="129">
        <v>808.12</v>
      </c>
      <c r="L191" s="129">
        <v>786.96</v>
      </c>
    </row>
    <row r="192" spans="1:12" ht="12.75" hidden="1">
      <c r="A192" s="129">
        <v>2570</v>
      </c>
      <c r="B192" s="129">
        <v>2589.99</v>
      </c>
      <c r="C192" s="129">
        <v>1104.36</v>
      </c>
      <c r="D192" s="129">
        <v>1127.03</v>
      </c>
      <c r="E192" s="129">
        <v>1265.09</v>
      </c>
      <c r="F192" s="129">
        <v>907.91</v>
      </c>
      <c r="G192" s="129">
        <v>884.18</v>
      </c>
      <c r="H192" s="129">
        <v>988.98</v>
      </c>
      <c r="I192" s="129">
        <v>1009.28</v>
      </c>
      <c r="J192" s="129">
        <v>1132.92</v>
      </c>
      <c r="K192" s="129">
        <v>813.05</v>
      </c>
      <c r="L192" s="129">
        <v>791.8</v>
      </c>
    </row>
    <row r="193" spans="1:12" ht="12.75" hidden="1">
      <c r="A193" s="129">
        <v>2590</v>
      </c>
      <c r="B193" s="129">
        <v>2609.99</v>
      </c>
      <c r="C193" s="129">
        <v>1111.29</v>
      </c>
      <c r="D193" s="129">
        <v>1134.03</v>
      </c>
      <c r="E193" s="129">
        <v>1272.67</v>
      </c>
      <c r="F193" s="129">
        <v>913.32</v>
      </c>
      <c r="G193" s="129">
        <v>889.58</v>
      </c>
      <c r="H193" s="129">
        <v>995.18</v>
      </c>
      <c r="I193" s="129">
        <v>1015.55</v>
      </c>
      <c r="J193" s="129">
        <v>1139.7</v>
      </c>
      <c r="K193" s="129">
        <v>817.9</v>
      </c>
      <c r="L193" s="129">
        <v>796.64</v>
      </c>
    </row>
    <row r="194" spans="1:12" ht="12.75" hidden="1">
      <c r="A194" s="129">
        <v>2610</v>
      </c>
      <c r="B194" s="129">
        <v>2629.99</v>
      </c>
      <c r="C194" s="129">
        <v>1118.16</v>
      </c>
      <c r="D194" s="129">
        <v>1141.02</v>
      </c>
      <c r="E194" s="129">
        <v>1280.24</v>
      </c>
      <c r="F194" s="129">
        <v>918.66</v>
      </c>
      <c r="G194" s="129">
        <v>894.98</v>
      </c>
      <c r="H194" s="129">
        <v>1001.34</v>
      </c>
      <c r="I194" s="129">
        <v>1021.81</v>
      </c>
      <c r="J194" s="129">
        <v>1146.48</v>
      </c>
      <c r="K194" s="129">
        <v>822.68</v>
      </c>
      <c r="L194" s="129">
        <v>801.47</v>
      </c>
    </row>
    <row r="195" spans="1:12" ht="12.75" hidden="1">
      <c r="A195" s="129">
        <v>2630</v>
      </c>
      <c r="B195" s="129">
        <v>2649.99</v>
      </c>
      <c r="C195" s="129">
        <v>1125.04</v>
      </c>
      <c r="D195" s="129">
        <v>1147.96</v>
      </c>
      <c r="E195" s="129">
        <v>1287.75</v>
      </c>
      <c r="F195" s="129">
        <v>924</v>
      </c>
      <c r="G195" s="129">
        <v>900.39</v>
      </c>
      <c r="H195" s="129">
        <v>1007.5</v>
      </c>
      <c r="I195" s="129">
        <v>1028.02</v>
      </c>
      <c r="J195" s="129">
        <v>1153.21</v>
      </c>
      <c r="K195" s="129">
        <v>827.47</v>
      </c>
      <c r="L195" s="129">
        <v>806.32</v>
      </c>
    </row>
    <row r="196" spans="1:12" ht="12.75" hidden="1">
      <c r="A196" s="129">
        <v>2650</v>
      </c>
      <c r="B196" s="129">
        <v>2669.99</v>
      </c>
      <c r="C196" s="129">
        <v>1131.92</v>
      </c>
      <c r="D196" s="129">
        <v>1154.89</v>
      </c>
      <c r="E196" s="129">
        <v>1294.57</v>
      </c>
      <c r="F196" s="129">
        <v>929.4</v>
      </c>
      <c r="G196" s="129">
        <v>905.79</v>
      </c>
      <c r="H196" s="129">
        <v>1013.66</v>
      </c>
      <c r="I196" s="129">
        <v>1034.23</v>
      </c>
      <c r="J196" s="129">
        <v>1159.32</v>
      </c>
      <c r="K196" s="129">
        <v>832.3</v>
      </c>
      <c r="L196" s="129">
        <v>811.15</v>
      </c>
    </row>
    <row r="197" spans="1:12" ht="12.75" hidden="1">
      <c r="A197" s="129">
        <v>2670</v>
      </c>
      <c r="B197" s="129">
        <v>2689.99</v>
      </c>
      <c r="C197" s="129">
        <v>1138.73</v>
      </c>
      <c r="D197" s="129">
        <v>1161.83</v>
      </c>
      <c r="E197" s="129">
        <v>1301.54</v>
      </c>
      <c r="F197" s="129">
        <v>934.81</v>
      </c>
      <c r="G197" s="129">
        <v>911.13</v>
      </c>
      <c r="H197" s="129">
        <v>1019.76</v>
      </c>
      <c r="I197" s="129">
        <v>1040.44</v>
      </c>
      <c r="J197" s="129">
        <v>1165.56</v>
      </c>
      <c r="K197" s="129">
        <v>837.14</v>
      </c>
      <c r="L197" s="129">
        <v>815.93</v>
      </c>
    </row>
    <row r="198" spans="1:12" ht="12.75" hidden="1">
      <c r="A198" s="129">
        <v>2690</v>
      </c>
      <c r="B198" s="129">
        <v>2709.99</v>
      </c>
      <c r="C198" s="129">
        <v>1145.61</v>
      </c>
      <c r="D198" s="129">
        <v>1168.7</v>
      </c>
      <c r="E198" s="129">
        <v>1308.38</v>
      </c>
      <c r="F198" s="129">
        <v>940.21</v>
      </c>
      <c r="G198" s="129">
        <v>916.53</v>
      </c>
      <c r="H198" s="129">
        <v>1025.92</v>
      </c>
      <c r="I198" s="129">
        <v>1046.6</v>
      </c>
      <c r="J198" s="129">
        <v>1171.69</v>
      </c>
      <c r="K198" s="129">
        <v>841.98</v>
      </c>
      <c r="L198" s="129">
        <v>820.78</v>
      </c>
    </row>
    <row r="199" spans="1:12" ht="12.75" hidden="1">
      <c r="A199" s="129">
        <v>2710</v>
      </c>
      <c r="B199" s="129">
        <v>2729.99</v>
      </c>
      <c r="C199" s="129">
        <v>1152.43</v>
      </c>
      <c r="D199" s="129">
        <v>1175.64</v>
      </c>
      <c r="E199" s="129">
        <v>1315.22</v>
      </c>
      <c r="F199" s="129">
        <v>945.61</v>
      </c>
      <c r="G199" s="129">
        <v>921.93</v>
      </c>
      <c r="H199" s="129">
        <v>1032.02</v>
      </c>
      <c r="I199" s="129">
        <v>1052.81</v>
      </c>
      <c r="J199" s="129">
        <v>1177.81</v>
      </c>
      <c r="K199" s="129">
        <v>846.82</v>
      </c>
      <c r="L199" s="129">
        <v>825.61</v>
      </c>
    </row>
    <row r="200" spans="1:12" ht="12.75" hidden="1">
      <c r="A200" s="129">
        <v>2730</v>
      </c>
      <c r="B200" s="129">
        <v>2749.99</v>
      </c>
      <c r="C200" s="129">
        <v>1159.24</v>
      </c>
      <c r="D200" s="129">
        <v>1182.51</v>
      </c>
      <c r="E200" s="129">
        <v>1322.04</v>
      </c>
      <c r="F200" s="129">
        <v>951.02</v>
      </c>
      <c r="G200" s="129">
        <v>927.33</v>
      </c>
      <c r="H200" s="129">
        <v>1038.13</v>
      </c>
      <c r="I200" s="129">
        <v>1058.96</v>
      </c>
      <c r="J200" s="129">
        <v>1183.92</v>
      </c>
      <c r="K200" s="129">
        <v>851.66</v>
      </c>
      <c r="L200" s="129">
        <v>830.45</v>
      </c>
    </row>
    <row r="201" spans="1:12" ht="12.75" hidden="1">
      <c r="A201" s="129">
        <v>2750</v>
      </c>
      <c r="B201" s="129">
        <v>2769.99</v>
      </c>
      <c r="C201" s="129">
        <v>1166.06</v>
      </c>
      <c r="D201" s="129">
        <v>1189.38</v>
      </c>
      <c r="E201" s="129">
        <v>1328.88</v>
      </c>
      <c r="F201" s="129">
        <v>956.42</v>
      </c>
      <c r="G201" s="129">
        <v>932.74</v>
      </c>
      <c r="H201" s="129">
        <v>1044.23</v>
      </c>
      <c r="I201" s="129">
        <v>1065.12</v>
      </c>
      <c r="J201" s="129">
        <v>1190.05</v>
      </c>
      <c r="K201" s="129">
        <v>856.49</v>
      </c>
      <c r="L201" s="129">
        <v>835.29</v>
      </c>
    </row>
    <row r="202" spans="1:12" ht="12.75" hidden="1">
      <c r="A202" s="129">
        <v>2770</v>
      </c>
      <c r="B202" s="129">
        <v>2789.99</v>
      </c>
      <c r="C202" s="129">
        <v>1172.88</v>
      </c>
      <c r="D202" s="129">
        <v>1196.26</v>
      </c>
      <c r="E202" s="129">
        <v>1335.72</v>
      </c>
      <c r="F202" s="129">
        <v>961.76</v>
      </c>
      <c r="G202" s="129">
        <v>938.14</v>
      </c>
      <c r="H202" s="129">
        <v>1050.34</v>
      </c>
      <c r="I202" s="129">
        <v>1071.28</v>
      </c>
      <c r="J202" s="129">
        <v>1196.17</v>
      </c>
      <c r="K202" s="129">
        <v>861.28</v>
      </c>
      <c r="L202" s="129">
        <v>840.13</v>
      </c>
    </row>
    <row r="203" spans="1:12" ht="12.75" hidden="1">
      <c r="A203" s="129">
        <v>2790</v>
      </c>
      <c r="B203" s="129">
        <v>2809.99</v>
      </c>
      <c r="C203" s="129">
        <v>1179.63</v>
      </c>
      <c r="D203" s="129">
        <v>1203.13</v>
      </c>
      <c r="E203" s="129">
        <v>1342.55</v>
      </c>
      <c r="F203" s="129">
        <v>967.17</v>
      </c>
      <c r="G203" s="129">
        <v>943.54</v>
      </c>
      <c r="H203" s="129">
        <v>1056.38</v>
      </c>
      <c r="I203" s="129">
        <v>1077.43</v>
      </c>
      <c r="J203" s="129">
        <v>1202.28</v>
      </c>
      <c r="K203" s="129">
        <v>866.12</v>
      </c>
      <c r="L203" s="129">
        <v>844.96</v>
      </c>
    </row>
    <row r="204" spans="1:12" ht="12.75" hidden="1">
      <c r="A204" s="129">
        <v>2810</v>
      </c>
      <c r="B204" s="129">
        <v>2829.99</v>
      </c>
      <c r="C204" s="129">
        <v>1186.39</v>
      </c>
      <c r="D204" s="129">
        <v>1209.95</v>
      </c>
      <c r="E204" s="129">
        <v>1349.51</v>
      </c>
      <c r="F204" s="129">
        <v>972.57</v>
      </c>
      <c r="G204" s="129">
        <v>948.89</v>
      </c>
      <c r="H204" s="129">
        <v>1062.44</v>
      </c>
      <c r="I204" s="129">
        <v>1083.54</v>
      </c>
      <c r="J204" s="129">
        <v>1208.52</v>
      </c>
      <c r="K204" s="129">
        <v>870.95</v>
      </c>
      <c r="L204" s="129">
        <v>849.75</v>
      </c>
    </row>
    <row r="205" spans="1:12" ht="12.75" hidden="1">
      <c r="A205" s="129">
        <v>2830</v>
      </c>
      <c r="B205" s="129">
        <v>2849.99</v>
      </c>
      <c r="C205" s="129">
        <v>1193.15</v>
      </c>
      <c r="D205" s="129">
        <v>1216.83</v>
      </c>
      <c r="E205" s="129">
        <v>1356.35</v>
      </c>
      <c r="F205" s="129">
        <v>977.97</v>
      </c>
      <c r="G205" s="129">
        <v>954.29</v>
      </c>
      <c r="H205" s="129">
        <v>1068.49</v>
      </c>
      <c r="I205" s="129">
        <v>1089.7</v>
      </c>
      <c r="J205" s="129">
        <v>1214.65</v>
      </c>
      <c r="K205" s="129">
        <v>875.8</v>
      </c>
      <c r="L205" s="129">
        <v>854.59</v>
      </c>
    </row>
    <row r="206" spans="1:12" ht="12.75" hidden="1">
      <c r="A206" s="129">
        <v>2850</v>
      </c>
      <c r="B206" s="129">
        <v>2869.99</v>
      </c>
      <c r="C206" s="129">
        <v>1199.9</v>
      </c>
      <c r="D206" s="129">
        <v>1223.64</v>
      </c>
      <c r="E206" s="129">
        <v>1363.05</v>
      </c>
      <c r="F206" s="129">
        <v>983.37</v>
      </c>
      <c r="G206" s="129">
        <v>959.69</v>
      </c>
      <c r="H206" s="129">
        <v>1074.54</v>
      </c>
      <c r="I206" s="129">
        <v>1095.8</v>
      </c>
      <c r="J206" s="129">
        <v>1220.64</v>
      </c>
      <c r="K206" s="129">
        <v>880.63</v>
      </c>
      <c r="L206" s="129">
        <v>859.43</v>
      </c>
    </row>
    <row r="207" spans="1:12" ht="12.75" hidden="1">
      <c r="A207" s="129">
        <v>2870</v>
      </c>
      <c r="B207" s="129">
        <v>2889.99</v>
      </c>
      <c r="C207" s="129">
        <v>1206.6</v>
      </c>
      <c r="D207" s="129">
        <v>1230.46</v>
      </c>
      <c r="E207" s="129">
        <v>1369.89</v>
      </c>
      <c r="F207" s="129">
        <v>988.71</v>
      </c>
      <c r="G207" s="129">
        <v>965.09</v>
      </c>
      <c r="H207" s="129">
        <v>1080.54</v>
      </c>
      <c r="I207" s="129">
        <v>1101.9</v>
      </c>
      <c r="J207" s="129">
        <v>1226.77</v>
      </c>
      <c r="K207" s="129">
        <v>885.41</v>
      </c>
      <c r="L207" s="129">
        <v>864.26</v>
      </c>
    </row>
    <row r="208" spans="1:12" ht="12.75" hidden="1">
      <c r="A208" s="129">
        <v>2890</v>
      </c>
      <c r="B208" s="129">
        <v>2909.99</v>
      </c>
      <c r="C208" s="129">
        <v>1213.36</v>
      </c>
      <c r="D208" s="129">
        <v>1237.28</v>
      </c>
      <c r="E208" s="129">
        <v>1376.76</v>
      </c>
      <c r="F208" s="129">
        <v>994.18</v>
      </c>
      <c r="G208" s="129">
        <v>970.5</v>
      </c>
      <c r="H208" s="129">
        <v>1086.59</v>
      </c>
      <c r="I208" s="129">
        <v>1108.01</v>
      </c>
      <c r="J208" s="129">
        <v>1232.92</v>
      </c>
      <c r="K208" s="129">
        <v>890.31</v>
      </c>
      <c r="L208" s="129">
        <v>869.1</v>
      </c>
    </row>
    <row r="209" spans="1:12" ht="12.75" hidden="1">
      <c r="A209" s="129">
        <v>2910</v>
      </c>
      <c r="B209" s="129">
        <v>2929.99</v>
      </c>
      <c r="C209" s="129">
        <v>1220.06</v>
      </c>
      <c r="D209" s="129">
        <v>1244.03</v>
      </c>
      <c r="E209" s="129">
        <v>1384.05</v>
      </c>
      <c r="F209" s="129">
        <v>999.52</v>
      </c>
      <c r="G209" s="129">
        <v>975.9</v>
      </c>
      <c r="H209" s="129">
        <v>1092.59</v>
      </c>
      <c r="I209" s="129">
        <v>1114.06</v>
      </c>
      <c r="J209" s="129">
        <v>1239.44</v>
      </c>
      <c r="K209" s="129">
        <v>895.09</v>
      </c>
      <c r="L209" s="129">
        <v>873.94</v>
      </c>
    </row>
    <row r="210" spans="1:12" ht="12.75" hidden="1">
      <c r="A210" s="129">
        <v>2930</v>
      </c>
      <c r="B210" s="129">
        <v>2949.99</v>
      </c>
      <c r="C210" s="129">
        <v>1226.75</v>
      </c>
      <c r="D210" s="129">
        <v>1250.78</v>
      </c>
      <c r="E210" s="129">
        <v>1391.57</v>
      </c>
      <c r="F210" s="129">
        <v>1004.92</v>
      </c>
      <c r="G210" s="129">
        <v>981.3</v>
      </c>
      <c r="H210" s="129">
        <v>1098.58</v>
      </c>
      <c r="I210" s="129">
        <v>1120.1</v>
      </c>
      <c r="J210" s="129">
        <v>1246.18</v>
      </c>
      <c r="K210" s="129">
        <v>899.93</v>
      </c>
      <c r="L210" s="129">
        <v>878.78</v>
      </c>
    </row>
    <row r="211" spans="1:12" ht="12.75" hidden="1">
      <c r="A211" s="129">
        <v>2950</v>
      </c>
      <c r="B211" s="129">
        <v>2969.99</v>
      </c>
      <c r="C211" s="129">
        <v>1233.45</v>
      </c>
      <c r="D211" s="129">
        <v>1257.55</v>
      </c>
      <c r="E211" s="129">
        <v>1399.09</v>
      </c>
      <c r="F211" s="129">
        <v>1010.33</v>
      </c>
      <c r="G211" s="129">
        <v>986.7</v>
      </c>
      <c r="H211" s="129">
        <v>1104.58</v>
      </c>
      <c r="I211" s="129">
        <v>1126.16</v>
      </c>
      <c r="J211" s="129">
        <v>1252.92</v>
      </c>
      <c r="K211" s="129">
        <v>904.77</v>
      </c>
      <c r="L211" s="129">
        <v>883.61</v>
      </c>
    </row>
    <row r="212" spans="1:12" ht="12.75" hidden="1">
      <c r="A212" s="129">
        <v>2970</v>
      </c>
      <c r="B212" s="129">
        <v>2989.99</v>
      </c>
      <c r="C212" s="129">
        <v>1240.15</v>
      </c>
      <c r="D212" s="129">
        <v>1264.3</v>
      </c>
      <c r="E212" s="129">
        <v>1406.61</v>
      </c>
      <c r="F212" s="129">
        <v>1015.73</v>
      </c>
      <c r="G212" s="129">
        <v>992.04</v>
      </c>
      <c r="H212" s="129">
        <v>1110.58</v>
      </c>
      <c r="I212" s="129">
        <v>1132.21</v>
      </c>
      <c r="J212" s="129">
        <v>1259.65</v>
      </c>
      <c r="K212" s="129">
        <v>909.61</v>
      </c>
      <c r="L212" s="129">
        <v>888.4</v>
      </c>
    </row>
    <row r="213" spans="1:12" ht="12.75" hidden="1">
      <c r="A213" s="129">
        <v>2990</v>
      </c>
      <c r="B213" s="129">
        <v>3009.99</v>
      </c>
      <c r="C213" s="129">
        <v>1246.79</v>
      </c>
      <c r="D213" s="129">
        <v>1271.06</v>
      </c>
      <c r="E213" s="129">
        <v>1414.14</v>
      </c>
      <c r="F213" s="129">
        <v>1021.13</v>
      </c>
      <c r="G213" s="129">
        <v>997.45</v>
      </c>
      <c r="H213" s="129">
        <v>1116.53</v>
      </c>
      <c r="I213" s="129">
        <v>1138.26</v>
      </c>
      <c r="J213" s="129">
        <v>1266.39</v>
      </c>
      <c r="K213" s="129">
        <v>914.44</v>
      </c>
      <c r="L213" s="129">
        <v>893.24</v>
      </c>
    </row>
    <row r="214" spans="1:12" ht="12.75" hidden="1">
      <c r="A214" s="129">
        <v>3010</v>
      </c>
      <c r="B214" s="129">
        <v>3029.99</v>
      </c>
      <c r="C214" s="129">
        <v>1253.44</v>
      </c>
      <c r="D214" s="129">
        <v>1277.76</v>
      </c>
      <c r="E214" s="129">
        <v>1421.67</v>
      </c>
      <c r="F214" s="129">
        <v>1026.47</v>
      </c>
      <c r="G214" s="129">
        <v>1002.86</v>
      </c>
      <c r="H214" s="129">
        <v>1122.48</v>
      </c>
      <c r="I214" s="129">
        <v>1144.26</v>
      </c>
      <c r="J214" s="129">
        <v>1273.13</v>
      </c>
      <c r="K214" s="129">
        <v>919.23</v>
      </c>
      <c r="L214" s="129">
        <v>898.08</v>
      </c>
    </row>
    <row r="215" spans="1:12" ht="12.75" hidden="1">
      <c r="A215" s="129">
        <v>3030</v>
      </c>
      <c r="B215" s="129">
        <v>3049.99</v>
      </c>
      <c r="C215" s="129">
        <v>1260.13</v>
      </c>
      <c r="D215" s="129">
        <v>1284.52</v>
      </c>
      <c r="E215" s="129">
        <v>1429.18</v>
      </c>
      <c r="F215" s="129">
        <v>1031.93</v>
      </c>
      <c r="G215" s="129">
        <v>1008.25</v>
      </c>
      <c r="H215" s="129">
        <v>1128.47</v>
      </c>
      <c r="I215" s="129">
        <v>1150.31</v>
      </c>
      <c r="J215" s="129">
        <v>1279.87</v>
      </c>
      <c r="K215" s="129">
        <v>924.12</v>
      </c>
      <c r="L215" s="129">
        <v>902.91</v>
      </c>
    </row>
    <row r="216" spans="1:12" ht="12.75" hidden="1">
      <c r="A216" s="129">
        <v>3050</v>
      </c>
      <c r="B216" s="129">
        <v>3069.99</v>
      </c>
      <c r="C216" s="129">
        <v>1266.71</v>
      </c>
      <c r="D216" s="129">
        <v>1291.22</v>
      </c>
      <c r="E216" s="129">
        <v>1436.71</v>
      </c>
      <c r="F216" s="129">
        <v>1037.28</v>
      </c>
      <c r="G216" s="129">
        <v>1013.66</v>
      </c>
      <c r="H216" s="129">
        <v>1134.37</v>
      </c>
      <c r="I216" s="129">
        <v>1156.31</v>
      </c>
      <c r="J216" s="129">
        <v>1286.6</v>
      </c>
      <c r="K216" s="129">
        <v>928.91</v>
      </c>
      <c r="L216" s="129">
        <v>907.75</v>
      </c>
    </row>
    <row r="217" spans="1:12" ht="12.75" hidden="1">
      <c r="A217" s="129">
        <v>3070</v>
      </c>
      <c r="B217" s="129">
        <v>3089.99</v>
      </c>
      <c r="C217" s="129">
        <v>1273.35</v>
      </c>
      <c r="D217" s="129">
        <v>1297.92</v>
      </c>
      <c r="E217" s="129">
        <v>1444.23</v>
      </c>
      <c r="F217" s="129">
        <v>1042.68</v>
      </c>
      <c r="G217" s="129">
        <v>1019.06</v>
      </c>
      <c r="H217" s="129">
        <v>1140.31</v>
      </c>
      <c r="I217" s="129">
        <v>1162.31</v>
      </c>
      <c r="J217" s="129">
        <v>1293.34</v>
      </c>
      <c r="K217" s="129">
        <v>933.74</v>
      </c>
      <c r="L217" s="129">
        <v>912.59</v>
      </c>
    </row>
    <row r="218" spans="1:12" ht="12.75" hidden="1">
      <c r="A218" s="129">
        <v>3090</v>
      </c>
      <c r="B218" s="129">
        <v>3109.99</v>
      </c>
      <c r="C218" s="129">
        <v>1279.93</v>
      </c>
      <c r="D218" s="129">
        <v>1304.55</v>
      </c>
      <c r="E218" s="129">
        <v>1451.75</v>
      </c>
      <c r="F218" s="129">
        <v>1048.08</v>
      </c>
      <c r="G218" s="129">
        <v>1024.46</v>
      </c>
      <c r="H218" s="129">
        <v>1146.2</v>
      </c>
      <c r="I218" s="129">
        <v>1168.25</v>
      </c>
      <c r="J218" s="129">
        <v>1300.07</v>
      </c>
      <c r="K218" s="129">
        <v>938.58</v>
      </c>
      <c r="L218" s="129">
        <v>917.42</v>
      </c>
    </row>
    <row r="219" spans="1:12" ht="12.75" hidden="1">
      <c r="A219" s="129">
        <v>3110</v>
      </c>
      <c r="B219" s="129">
        <v>3129.99</v>
      </c>
      <c r="C219" s="129">
        <v>1286.51</v>
      </c>
      <c r="D219" s="129">
        <v>1311.25</v>
      </c>
      <c r="E219" s="129">
        <v>1459.27</v>
      </c>
      <c r="F219" s="129">
        <v>1053.49</v>
      </c>
      <c r="G219" s="129">
        <v>1029.81</v>
      </c>
      <c r="H219" s="129">
        <v>1152.1</v>
      </c>
      <c r="I219" s="129">
        <v>1174.25</v>
      </c>
      <c r="J219" s="129">
        <v>1306.81</v>
      </c>
      <c r="K219" s="129">
        <v>943.42</v>
      </c>
      <c r="L219" s="129">
        <v>922.22</v>
      </c>
    </row>
    <row r="220" spans="1:12" ht="12.75" hidden="1">
      <c r="A220" s="129">
        <v>3130</v>
      </c>
      <c r="B220" s="129">
        <v>3149.99</v>
      </c>
      <c r="C220" s="129">
        <v>1293.09</v>
      </c>
      <c r="D220" s="129">
        <v>1317.89</v>
      </c>
      <c r="E220" s="129">
        <v>1466.68</v>
      </c>
      <c r="F220" s="129">
        <v>1058.89</v>
      </c>
      <c r="G220" s="129">
        <v>1035.2</v>
      </c>
      <c r="H220" s="129">
        <v>1157.99</v>
      </c>
      <c r="I220" s="129">
        <v>1180.2</v>
      </c>
      <c r="J220" s="129">
        <v>1313.45</v>
      </c>
      <c r="K220" s="129">
        <v>948.26</v>
      </c>
      <c r="L220" s="129">
        <v>927.05</v>
      </c>
    </row>
    <row r="221" spans="1:12" ht="12.75" hidden="1">
      <c r="A221" s="129">
        <v>3150</v>
      </c>
      <c r="B221" s="129">
        <v>3169.99</v>
      </c>
      <c r="C221" s="129">
        <v>1299.67</v>
      </c>
      <c r="D221" s="129">
        <v>1324.53</v>
      </c>
      <c r="E221" s="129">
        <v>1474.21</v>
      </c>
      <c r="F221" s="129">
        <v>1064.23</v>
      </c>
      <c r="G221" s="129">
        <v>1040.61</v>
      </c>
      <c r="H221" s="129">
        <v>1163.89</v>
      </c>
      <c r="I221" s="129">
        <v>1186.15</v>
      </c>
      <c r="J221" s="129">
        <v>1320.19</v>
      </c>
      <c r="K221" s="129">
        <v>953.05</v>
      </c>
      <c r="L221" s="129">
        <v>931.89</v>
      </c>
    </row>
    <row r="222" spans="1:12" ht="12.75" hidden="1">
      <c r="A222" s="129">
        <v>3170</v>
      </c>
      <c r="B222" s="129">
        <v>3189.99</v>
      </c>
      <c r="C222" s="129">
        <v>1306.25</v>
      </c>
      <c r="D222" s="129">
        <v>1331.16</v>
      </c>
      <c r="E222" s="129">
        <v>1481.61</v>
      </c>
      <c r="F222" s="129">
        <v>1069.63</v>
      </c>
      <c r="G222" s="129">
        <v>1046.02</v>
      </c>
      <c r="H222" s="129">
        <v>1169.78</v>
      </c>
      <c r="I222" s="129">
        <v>1192.09</v>
      </c>
      <c r="J222" s="129">
        <v>1326.82</v>
      </c>
      <c r="K222" s="129">
        <v>957.88</v>
      </c>
      <c r="L222" s="129">
        <v>936.73</v>
      </c>
    </row>
    <row r="223" spans="1:12" ht="12.75" hidden="1">
      <c r="A223" s="129">
        <v>3190</v>
      </c>
      <c r="B223" s="129">
        <v>3209.99</v>
      </c>
      <c r="C223" s="129">
        <v>1312.77</v>
      </c>
      <c r="D223" s="129">
        <v>1337.81</v>
      </c>
      <c r="E223" s="129">
        <v>1489.13</v>
      </c>
      <c r="F223" s="129">
        <v>1075.04</v>
      </c>
      <c r="G223" s="129">
        <v>1051.41</v>
      </c>
      <c r="H223" s="129">
        <v>1175.62</v>
      </c>
      <c r="I223" s="129">
        <v>1198.04</v>
      </c>
      <c r="J223" s="129">
        <v>1333.55</v>
      </c>
      <c r="K223" s="129">
        <v>962.72</v>
      </c>
      <c r="L223" s="129">
        <v>941.56</v>
      </c>
    </row>
    <row r="224" spans="1:12" ht="12.75" hidden="1">
      <c r="A224" s="129">
        <v>3210</v>
      </c>
      <c r="B224" s="129">
        <v>3229.99</v>
      </c>
      <c r="C224" s="129">
        <v>1319.36</v>
      </c>
      <c r="D224" s="129">
        <v>1344.39</v>
      </c>
      <c r="E224" s="129">
        <v>1496.53</v>
      </c>
      <c r="F224" s="129">
        <v>1080.44</v>
      </c>
      <c r="G224" s="129">
        <v>1056.82</v>
      </c>
      <c r="H224" s="129">
        <v>1181.51</v>
      </c>
      <c r="I224" s="129">
        <v>1203.93</v>
      </c>
      <c r="J224" s="129">
        <v>1340.18</v>
      </c>
      <c r="K224" s="129">
        <v>967.56</v>
      </c>
      <c r="L224" s="129">
        <v>946.4</v>
      </c>
    </row>
    <row r="225" spans="1:12" ht="12.75" hidden="1">
      <c r="A225" s="129">
        <v>3230</v>
      </c>
      <c r="B225" s="129">
        <v>3249.99</v>
      </c>
      <c r="C225" s="129">
        <v>1325.88</v>
      </c>
      <c r="D225" s="129">
        <v>1350.97</v>
      </c>
      <c r="E225" s="129">
        <v>1504.06</v>
      </c>
      <c r="F225" s="129">
        <v>1085.84</v>
      </c>
      <c r="G225" s="129">
        <v>1062.22</v>
      </c>
      <c r="H225" s="129">
        <v>1187.35</v>
      </c>
      <c r="I225" s="129">
        <v>1209.82</v>
      </c>
      <c r="J225" s="129">
        <v>1346.92</v>
      </c>
      <c r="K225" s="129">
        <v>972.39</v>
      </c>
      <c r="L225" s="129">
        <v>951.25</v>
      </c>
    </row>
    <row r="226" spans="1:12" ht="12.75" hidden="1">
      <c r="A226" s="129">
        <v>3250</v>
      </c>
      <c r="B226" s="129">
        <v>3269.99</v>
      </c>
      <c r="C226" s="129">
        <v>1332.34</v>
      </c>
      <c r="D226" s="129">
        <v>1357.55</v>
      </c>
      <c r="E226" s="129">
        <v>1511.47</v>
      </c>
      <c r="F226" s="129">
        <v>1091.24</v>
      </c>
      <c r="G226" s="129">
        <v>1067.56</v>
      </c>
      <c r="H226" s="129">
        <v>1193.14</v>
      </c>
      <c r="I226" s="129">
        <v>1215.71</v>
      </c>
      <c r="J226" s="129">
        <v>1353.55</v>
      </c>
      <c r="K226" s="129">
        <v>977.23</v>
      </c>
      <c r="L226" s="129">
        <v>956.03</v>
      </c>
    </row>
    <row r="227" spans="1:12" ht="12.75" hidden="1">
      <c r="A227" s="129">
        <v>3270</v>
      </c>
      <c r="B227" s="129">
        <v>3289.99</v>
      </c>
      <c r="C227" s="129">
        <v>1338.85</v>
      </c>
      <c r="D227" s="129">
        <v>1364.13</v>
      </c>
      <c r="E227" s="129">
        <v>1518.87</v>
      </c>
      <c r="F227" s="129">
        <v>1096.65</v>
      </c>
      <c r="G227" s="129">
        <v>1072.97</v>
      </c>
      <c r="H227" s="129">
        <v>1198.97</v>
      </c>
      <c r="I227" s="129">
        <v>1221.61</v>
      </c>
      <c r="J227" s="129">
        <v>1360.18</v>
      </c>
      <c r="K227" s="129">
        <v>982.07</v>
      </c>
      <c r="L227" s="129">
        <v>960.87</v>
      </c>
    </row>
    <row r="228" spans="1:12" ht="12.75" hidden="1">
      <c r="A228" s="129">
        <v>3290</v>
      </c>
      <c r="B228" s="129">
        <v>3309.99</v>
      </c>
      <c r="C228" s="129">
        <v>1345.32</v>
      </c>
      <c r="D228" s="129">
        <v>1370.71</v>
      </c>
      <c r="E228" s="129">
        <v>1526.27</v>
      </c>
      <c r="F228" s="129">
        <v>1101.99</v>
      </c>
      <c r="G228" s="129">
        <v>1078.37</v>
      </c>
      <c r="H228" s="129">
        <v>1204.76</v>
      </c>
      <c r="I228" s="129">
        <v>1227.5</v>
      </c>
      <c r="J228" s="129">
        <v>1366.81</v>
      </c>
      <c r="K228" s="129">
        <v>986.86</v>
      </c>
      <c r="L228" s="129">
        <v>965.7</v>
      </c>
    </row>
    <row r="229" spans="1:12" ht="12.75" hidden="1">
      <c r="A229" s="129">
        <v>3310</v>
      </c>
      <c r="B229" s="129">
        <v>3329.99</v>
      </c>
      <c r="C229" s="129">
        <v>1351.79</v>
      </c>
      <c r="D229" s="129">
        <v>1377.23</v>
      </c>
      <c r="E229" s="129">
        <v>1533.8</v>
      </c>
      <c r="F229" s="129">
        <v>1107.4</v>
      </c>
      <c r="G229" s="129">
        <v>1083.77</v>
      </c>
      <c r="H229" s="129">
        <v>1210.55</v>
      </c>
      <c r="I229" s="129">
        <v>1233.34</v>
      </c>
      <c r="J229" s="129">
        <v>1373.56</v>
      </c>
      <c r="K229" s="129">
        <v>991.7</v>
      </c>
      <c r="L229" s="129">
        <v>970.54</v>
      </c>
    </row>
    <row r="230" spans="1:12" ht="12.75" hidden="1">
      <c r="A230" s="129">
        <v>3330</v>
      </c>
      <c r="B230" s="129">
        <v>3349.99</v>
      </c>
      <c r="C230" s="129">
        <v>1358.31</v>
      </c>
      <c r="D230" s="129">
        <v>1383.81</v>
      </c>
      <c r="E230" s="129">
        <v>1541.21</v>
      </c>
      <c r="F230" s="129">
        <v>1112.79</v>
      </c>
      <c r="G230" s="129">
        <v>1089.18</v>
      </c>
      <c r="H230" s="129">
        <v>1216.4</v>
      </c>
      <c r="I230" s="129">
        <v>1239.23</v>
      </c>
      <c r="J230" s="129">
        <v>1380.19</v>
      </c>
      <c r="K230" s="129">
        <v>996.53</v>
      </c>
      <c r="L230" s="129">
        <v>975.38</v>
      </c>
    </row>
    <row r="231" spans="1:12" ht="12.75" hidden="1">
      <c r="A231" s="129">
        <v>3350</v>
      </c>
      <c r="B231" s="129">
        <v>3369.99</v>
      </c>
      <c r="C231" s="129">
        <v>1364.71</v>
      </c>
      <c r="D231" s="129">
        <v>1390.34</v>
      </c>
      <c r="E231" s="129">
        <v>1548.61</v>
      </c>
      <c r="F231" s="129">
        <v>1118.2</v>
      </c>
      <c r="G231" s="129">
        <v>1094.57</v>
      </c>
      <c r="H231" s="129">
        <v>1222.13</v>
      </c>
      <c r="I231" s="129">
        <v>1245.08</v>
      </c>
      <c r="J231" s="129">
        <v>1386.82</v>
      </c>
      <c r="K231" s="129">
        <v>1001.37</v>
      </c>
      <c r="L231" s="129">
        <v>980.21</v>
      </c>
    </row>
    <row r="232" spans="1:12" ht="12.75" hidden="1">
      <c r="A232" s="129">
        <v>3370</v>
      </c>
      <c r="B232" s="129">
        <v>3389.99</v>
      </c>
      <c r="C232" s="129">
        <v>1371.18</v>
      </c>
      <c r="D232" s="129">
        <v>1396.8</v>
      </c>
      <c r="E232" s="129">
        <v>1556.01</v>
      </c>
      <c r="F232" s="129">
        <v>1123.6</v>
      </c>
      <c r="G232" s="129">
        <v>1099.98</v>
      </c>
      <c r="H232" s="129">
        <v>1227.92</v>
      </c>
      <c r="I232" s="129">
        <v>1250.86</v>
      </c>
      <c r="J232" s="129">
        <v>1393.45</v>
      </c>
      <c r="K232" s="129">
        <v>1006.21</v>
      </c>
      <c r="L232" s="129">
        <v>985.06</v>
      </c>
    </row>
    <row r="233" spans="1:12" ht="12.75" hidden="1">
      <c r="A233" s="129">
        <v>3390</v>
      </c>
      <c r="B233" s="129">
        <v>3409.99</v>
      </c>
      <c r="C233" s="129">
        <v>1377.58</v>
      </c>
      <c r="D233" s="129">
        <v>1403.32</v>
      </c>
      <c r="E233" s="129">
        <v>1563.42</v>
      </c>
      <c r="F233" s="129">
        <v>1129</v>
      </c>
      <c r="G233" s="129">
        <v>1105.32</v>
      </c>
      <c r="H233" s="129">
        <v>1233.65</v>
      </c>
      <c r="I233" s="129">
        <v>1256.71</v>
      </c>
      <c r="J233" s="129">
        <v>1400.08</v>
      </c>
      <c r="K233" s="129">
        <v>1011.04</v>
      </c>
      <c r="L233" s="129">
        <v>989.84</v>
      </c>
    </row>
    <row r="234" spans="1:12" ht="12.75" hidden="1">
      <c r="A234" s="129">
        <v>3410</v>
      </c>
      <c r="B234" s="129">
        <v>3429.99</v>
      </c>
      <c r="C234" s="129">
        <v>1383.98</v>
      </c>
      <c r="D234" s="129">
        <v>1409.78</v>
      </c>
      <c r="E234" s="129">
        <v>1570.83</v>
      </c>
      <c r="F234" s="129">
        <v>1134.4</v>
      </c>
      <c r="G234" s="129">
        <v>1110.73</v>
      </c>
      <c r="H234" s="129">
        <v>1239.38</v>
      </c>
      <c r="I234" s="129">
        <v>1262.49</v>
      </c>
      <c r="J234" s="129">
        <v>1406.71</v>
      </c>
      <c r="K234" s="129">
        <v>1015.88</v>
      </c>
      <c r="L234" s="129">
        <v>994.68</v>
      </c>
    </row>
    <row r="235" spans="1:12" ht="12.75" hidden="1">
      <c r="A235" s="129">
        <v>3430</v>
      </c>
      <c r="B235" s="129">
        <v>3449.99</v>
      </c>
      <c r="C235" s="129">
        <v>1390.38</v>
      </c>
      <c r="D235" s="129">
        <v>1416.3</v>
      </c>
      <c r="E235" s="129">
        <v>1578.23</v>
      </c>
      <c r="F235" s="129">
        <v>1139.74</v>
      </c>
      <c r="G235" s="129">
        <v>1116.13</v>
      </c>
      <c r="H235" s="129">
        <v>1245.12</v>
      </c>
      <c r="I235" s="129">
        <v>1268.33</v>
      </c>
      <c r="J235" s="129">
        <v>1413.34</v>
      </c>
      <c r="K235" s="129">
        <v>1020.67</v>
      </c>
      <c r="L235" s="129">
        <v>999.52</v>
      </c>
    </row>
    <row r="236" spans="1:12" ht="12.75" hidden="1">
      <c r="A236" s="129">
        <v>3450</v>
      </c>
      <c r="B236" s="129">
        <v>3469.99</v>
      </c>
      <c r="C236" s="129">
        <v>1396.79</v>
      </c>
      <c r="D236" s="129">
        <v>1422.77</v>
      </c>
      <c r="E236" s="129">
        <v>1585.64</v>
      </c>
      <c r="F236" s="129">
        <v>1145.15</v>
      </c>
      <c r="G236" s="129">
        <v>1121.53</v>
      </c>
      <c r="H236" s="129">
        <v>1250.86</v>
      </c>
      <c r="I236" s="129">
        <v>1274.12</v>
      </c>
      <c r="J236" s="129">
        <v>1419.97</v>
      </c>
      <c r="K236" s="129">
        <v>1025.51</v>
      </c>
      <c r="L236" s="129">
        <v>1004.35</v>
      </c>
    </row>
    <row r="237" spans="1:12" ht="12.75" hidden="1">
      <c r="A237" s="129">
        <v>3470</v>
      </c>
      <c r="B237" s="129">
        <v>3489.99</v>
      </c>
      <c r="C237" s="129">
        <v>1403.19</v>
      </c>
      <c r="D237" s="129">
        <v>1429.16</v>
      </c>
      <c r="E237" s="129">
        <v>1593.05</v>
      </c>
      <c r="F237" s="129">
        <v>1150.56</v>
      </c>
      <c r="G237" s="129">
        <v>1126.93</v>
      </c>
      <c r="H237" s="129">
        <v>1256.59</v>
      </c>
      <c r="I237" s="129">
        <v>1279.85</v>
      </c>
      <c r="J237" s="129">
        <v>1426.61</v>
      </c>
      <c r="K237" s="129">
        <v>1030.35</v>
      </c>
      <c r="L237" s="129">
        <v>1009.19</v>
      </c>
    </row>
    <row r="238" spans="1:12" ht="12.75" hidden="1">
      <c r="A238" s="129">
        <v>3490</v>
      </c>
      <c r="B238" s="129">
        <v>3509.99</v>
      </c>
      <c r="C238" s="129">
        <v>1409.53</v>
      </c>
      <c r="D238" s="129">
        <v>1435.63</v>
      </c>
      <c r="E238" s="129">
        <v>1600.33</v>
      </c>
      <c r="F238" s="129">
        <v>1155.95</v>
      </c>
      <c r="G238" s="129">
        <v>1132.33</v>
      </c>
      <c r="H238" s="129">
        <v>1262.27</v>
      </c>
      <c r="I238" s="129">
        <v>1285.64</v>
      </c>
      <c r="J238" s="129">
        <v>1433.13</v>
      </c>
      <c r="K238" s="129">
        <v>1035.18</v>
      </c>
      <c r="L238" s="129">
        <v>1014.03</v>
      </c>
    </row>
    <row r="239" spans="1:12" ht="12.75" hidden="1">
      <c r="A239" s="129">
        <v>3510</v>
      </c>
      <c r="B239" s="129">
        <v>3529.99</v>
      </c>
      <c r="C239" s="129">
        <v>1415.88</v>
      </c>
      <c r="D239" s="129">
        <v>1442.09</v>
      </c>
      <c r="E239" s="129">
        <v>1607.73</v>
      </c>
      <c r="F239" s="129">
        <v>1161.36</v>
      </c>
      <c r="G239" s="129">
        <v>1137.73</v>
      </c>
      <c r="H239" s="129">
        <v>1267.95</v>
      </c>
      <c r="I239" s="129">
        <v>1291.43</v>
      </c>
      <c r="J239" s="129">
        <v>1439.76</v>
      </c>
      <c r="K239" s="129">
        <v>1040.02</v>
      </c>
      <c r="L239" s="129">
        <v>1018.87</v>
      </c>
    </row>
    <row r="240" spans="1:12" ht="12.75" hidden="1">
      <c r="A240" s="129">
        <v>3530</v>
      </c>
      <c r="B240" s="129">
        <v>3549.99</v>
      </c>
      <c r="C240" s="129">
        <v>1422.22</v>
      </c>
      <c r="D240" s="129">
        <v>1448.5</v>
      </c>
      <c r="E240" s="129">
        <v>1615.14</v>
      </c>
      <c r="F240" s="129">
        <v>1166.76</v>
      </c>
      <c r="G240" s="129">
        <v>1143.08</v>
      </c>
      <c r="H240" s="129">
        <v>1273.63</v>
      </c>
      <c r="I240" s="129">
        <v>1297.16</v>
      </c>
      <c r="J240" s="129">
        <v>1446.39</v>
      </c>
      <c r="K240" s="129">
        <v>1044.86</v>
      </c>
      <c r="L240" s="129">
        <v>1023.65</v>
      </c>
    </row>
    <row r="241" spans="1:12" ht="12.75" hidden="1">
      <c r="A241" s="129">
        <v>3550</v>
      </c>
      <c r="B241" s="129">
        <v>3569.99</v>
      </c>
      <c r="C241" s="129">
        <v>1428.57</v>
      </c>
      <c r="D241" s="129">
        <v>1454.9</v>
      </c>
      <c r="E241" s="129">
        <v>1622.43</v>
      </c>
      <c r="F241" s="129">
        <v>1172.16</v>
      </c>
      <c r="G241" s="129">
        <v>1148.48</v>
      </c>
      <c r="H241" s="129">
        <v>1279.31</v>
      </c>
      <c r="I241" s="129">
        <v>1302.89</v>
      </c>
      <c r="J241" s="129">
        <v>1452.92</v>
      </c>
      <c r="K241" s="129">
        <v>1049.69</v>
      </c>
      <c r="L241" s="129">
        <v>1028.49</v>
      </c>
    </row>
    <row r="242" spans="1:12" ht="12.75" hidden="1">
      <c r="A242" s="129">
        <v>3570</v>
      </c>
      <c r="B242" s="129">
        <v>3589.99</v>
      </c>
      <c r="C242" s="129">
        <v>1434.91</v>
      </c>
      <c r="D242" s="129">
        <v>1461.31</v>
      </c>
      <c r="E242" s="129">
        <v>1629.83</v>
      </c>
      <c r="F242" s="129">
        <v>1177.57</v>
      </c>
      <c r="G242" s="129">
        <v>1153.89</v>
      </c>
      <c r="H242" s="129">
        <v>1285</v>
      </c>
      <c r="I242" s="129">
        <v>1308.64</v>
      </c>
      <c r="J242" s="129">
        <v>1459.55</v>
      </c>
      <c r="K242" s="129">
        <v>1054.54</v>
      </c>
      <c r="L242" s="129">
        <v>1033.33</v>
      </c>
    </row>
    <row r="243" spans="1:12" ht="12.75" hidden="1">
      <c r="A243" s="129">
        <v>3590</v>
      </c>
      <c r="B243" s="129">
        <v>3609.99</v>
      </c>
      <c r="C243" s="129">
        <v>1441.2</v>
      </c>
      <c r="D243" s="129">
        <v>1467.66</v>
      </c>
      <c r="E243" s="129">
        <v>1637.12</v>
      </c>
      <c r="F243" s="129">
        <v>1182.91</v>
      </c>
      <c r="G243" s="129">
        <v>1159.29</v>
      </c>
      <c r="H243" s="129">
        <v>1290.63</v>
      </c>
      <c r="I243" s="129">
        <v>1314.32</v>
      </c>
      <c r="J243" s="129">
        <v>1466.08</v>
      </c>
      <c r="K243" s="129">
        <v>1059.32</v>
      </c>
      <c r="L243" s="129">
        <v>1038.17</v>
      </c>
    </row>
    <row r="244" spans="1:12" ht="12.75" hidden="1">
      <c r="A244" s="129">
        <v>3610</v>
      </c>
      <c r="B244" s="129">
        <v>3629.99</v>
      </c>
      <c r="C244" s="129">
        <v>1447.49</v>
      </c>
      <c r="D244" s="129">
        <v>1474.05</v>
      </c>
      <c r="E244" s="129">
        <v>1644.53</v>
      </c>
      <c r="F244" s="129">
        <v>1188.31</v>
      </c>
      <c r="G244" s="129">
        <v>1164.69</v>
      </c>
      <c r="H244" s="129">
        <v>1296.26</v>
      </c>
      <c r="I244" s="129">
        <v>1320.05</v>
      </c>
      <c r="J244" s="129">
        <v>1472.71</v>
      </c>
      <c r="K244" s="129">
        <v>1064.16</v>
      </c>
      <c r="L244" s="129">
        <v>1043</v>
      </c>
    </row>
    <row r="245" spans="1:12" ht="12.75" hidden="1">
      <c r="A245" s="129">
        <v>3630</v>
      </c>
      <c r="B245" s="129">
        <v>3649.99</v>
      </c>
      <c r="C245" s="129">
        <v>1453.77</v>
      </c>
      <c r="D245" s="129">
        <v>1480.4</v>
      </c>
      <c r="E245" s="129">
        <v>1651.81</v>
      </c>
      <c r="F245" s="129">
        <v>1193.71</v>
      </c>
      <c r="G245" s="129">
        <v>1170.09</v>
      </c>
      <c r="H245" s="129">
        <v>1301.89</v>
      </c>
      <c r="I245" s="129">
        <v>1325.73</v>
      </c>
      <c r="J245" s="129">
        <v>1479.23</v>
      </c>
      <c r="K245" s="129">
        <v>1069</v>
      </c>
      <c r="L245" s="129">
        <v>1047.85</v>
      </c>
    </row>
    <row r="246" spans="1:12" ht="12.75" hidden="1">
      <c r="A246" s="129">
        <v>3650</v>
      </c>
      <c r="B246" s="129">
        <v>3669.99</v>
      </c>
      <c r="C246" s="129">
        <v>1460.06</v>
      </c>
      <c r="D246" s="129">
        <v>1486.74</v>
      </c>
      <c r="E246" s="129">
        <v>1659.21</v>
      </c>
      <c r="F246" s="129">
        <v>1199.11</v>
      </c>
      <c r="G246" s="129">
        <v>1175.49</v>
      </c>
      <c r="H246" s="129">
        <v>1307.52</v>
      </c>
      <c r="I246" s="129">
        <v>1331.41</v>
      </c>
      <c r="J246" s="129">
        <v>1485.86</v>
      </c>
      <c r="K246" s="129">
        <v>1073.83</v>
      </c>
      <c r="L246" s="129">
        <v>1052.68</v>
      </c>
    </row>
    <row r="247" spans="1:12" ht="12.75" hidden="1">
      <c r="A247" s="129">
        <v>3670</v>
      </c>
      <c r="B247" s="129">
        <v>3689.99</v>
      </c>
      <c r="C247" s="129">
        <v>1466.35</v>
      </c>
      <c r="D247" s="129">
        <v>1493.09</v>
      </c>
      <c r="E247" s="129">
        <v>1666.5</v>
      </c>
      <c r="F247" s="129">
        <v>1204.52</v>
      </c>
      <c r="G247" s="129">
        <v>1180.84</v>
      </c>
      <c r="H247" s="129">
        <v>1313.15</v>
      </c>
      <c r="I247" s="129">
        <v>1337.09</v>
      </c>
      <c r="J247" s="129">
        <v>1492.39</v>
      </c>
      <c r="K247" s="129">
        <v>1078.67</v>
      </c>
      <c r="L247" s="129">
        <v>1057.47</v>
      </c>
    </row>
    <row r="248" spans="1:12" ht="12.75" hidden="1">
      <c r="A248" s="129">
        <v>3690</v>
      </c>
      <c r="B248" s="129">
        <v>3709.99</v>
      </c>
      <c r="C248" s="129">
        <v>1472.57</v>
      </c>
      <c r="D248" s="129">
        <v>1499.43</v>
      </c>
      <c r="E248" s="129">
        <v>1673.79</v>
      </c>
      <c r="F248" s="129">
        <v>1209.92</v>
      </c>
      <c r="G248" s="129">
        <v>1186.24</v>
      </c>
      <c r="H248" s="129">
        <v>1318.72</v>
      </c>
      <c r="I248" s="129">
        <v>1342.78</v>
      </c>
      <c r="J248" s="129">
        <v>1498.92</v>
      </c>
      <c r="K248" s="129">
        <v>1083.51</v>
      </c>
      <c r="L248" s="129">
        <v>1062.31</v>
      </c>
    </row>
    <row r="249" spans="1:12" ht="12.75" hidden="1">
      <c r="A249" s="129">
        <v>3710</v>
      </c>
      <c r="B249" s="129">
        <v>3729.99</v>
      </c>
      <c r="C249" s="129">
        <v>1478.8</v>
      </c>
      <c r="D249" s="129">
        <v>1505.72</v>
      </c>
      <c r="E249" s="129">
        <v>1681.08</v>
      </c>
      <c r="F249" s="129">
        <v>1215.32</v>
      </c>
      <c r="G249" s="129">
        <v>1191.64</v>
      </c>
      <c r="H249" s="129">
        <v>1324.3</v>
      </c>
      <c r="I249" s="129">
        <v>1348.41</v>
      </c>
      <c r="J249" s="129">
        <v>1505.44</v>
      </c>
      <c r="K249" s="129">
        <v>1088.35</v>
      </c>
      <c r="L249" s="129">
        <v>1067.14</v>
      </c>
    </row>
    <row r="250" spans="1:12" ht="12.75" hidden="1">
      <c r="A250" s="129">
        <v>3730</v>
      </c>
      <c r="B250" s="129">
        <v>3749.99</v>
      </c>
      <c r="C250" s="129">
        <v>1485.03</v>
      </c>
      <c r="D250" s="129">
        <v>1512</v>
      </c>
      <c r="E250" s="129">
        <v>1688.48</v>
      </c>
      <c r="F250" s="129">
        <v>1220.67</v>
      </c>
      <c r="G250" s="129">
        <v>1197.05</v>
      </c>
      <c r="H250" s="129">
        <v>1329.88</v>
      </c>
      <c r="I250" s="129">
        <v>1354.03</v>
      </c>
      <c r="J250" s="129">
        <v>1512.07</v>
      </c>
      <c r="K250" s="129">
        <v>1093.13</v>
      </c>
      <c r="L250" s="129">
        <v>1071.98</v>
      </c>
    </row>
    <row r="251" spans="1:12" ht="12.75" hidden="1">
      <c r="A251" s="129">
        <v>3750</v>
      </c>
      <c r="B251" s="129">
        <v>3769.99</v>
      </c>
      <c r="C251" s="129">
        <v>1491.02</v>
      </c>
      <c r="D251" s="129">
        <v>1518.11</v>
      </c>
      <c r="E251" s="129">
        <v>1695.54</v>
      </c>
      <c r="F251" s="129">
        <v>1225.83</v>
      </c>
      <c r="G251" s="129">
        <v>1202.15</v>
      </c>
      <c r="H251" s="129">
        <v>1335.25</v>
      </c>
      <c r="I251" s="129">
        <v>1359.5</v>
      </c>
      <c r="J251" s="129">
        <v>1518.39</v>
      </c>
      <c r="K251" s="129">
        <v>1097.76</v>
      </c>
      <c r="L251" s="129">
        <v>1076.56</v>
      </c>
    </row>
    <row r="252" spans="1:12" ht="12.75" hidden="1">
      <c r="A252" s="129">
        <v>3770</v>
      </c>
      <c r="B252" s="129">
        <v>3789.99</v>
      </c>
      <c r="C252" s="129">
        <v>1496.83</v>
      </c>
      <c r="D252" s="129">
        <v>1523.93</v>
      </c>
      <c r="E252" s="129">
        <v>1702.58</v>
      </c>
      <c r="F252" s="129">
        <v>1230.71</v>
      </c>
      <c r="G252" s="129">
        <v>1207.09</v>
      </c>
      <c r="H252" s="129">
        <v>1340.45</v>
      </c>
      <c r="I252" s="129">
        <v>1364.71</v>
      </c>
      <c r="J252" s="129">
        <v>1524.7</v>
      </c>
      <c r="K252" s="129">
        <v>1102.13</v>
      </c>
      <c r="L252" s="129">
        <v>1080.97</v>
      </c>
    </row>
    <row r="253" spans="1:12" ht="12.75" hidden="1">
      <c r="A253" s="129">
        <v>3790</v>
      </c>
      <c r="B253" s="129">
        <v>3809.99</v>
      </c>
      <c r="C253" s="129">
        <v>1502.53</v>
      </c>
      <c r="D253" s="129">
        <v>1529.8</v>
      </c>
      <c r="E253" s="129">
        <v>1709.52</v>
      </c>
      <c r="F253" s="129">
        <v>1235.57</v>
      </c>
      <c r="G253" s="129">
        <v>1211.96</v>
      </c>
      <c r="H253" s="129">
        <v>1345.55</v>
      </c>
      <c r="I253" s="129">
        <v>1369.97</v>
      </c>
      <c r="J253" s="129">
        <v>1530.91</v>
      </c>
      <c r="K253" s="129">
        <v>1106.48</v>
      </c>
      <c r="L253" s="129">
        <v>1085.33</v>
      </c>
    </row>
    <row r="254" spans="1:12" ht="12.75" hidden="1">
      <c r="A254" s="129">
        <v>3810</v>
      </c>
      <c r="B254" s="129">
        <v>3829.99</v>
      </c>
      <c r="C254" s="129">
        <v>1508.29</v>
      </c>
      <c r="D254" s="129">
        <v>1535.61</v>
      </c>
      <c r="E254" s="129">
        <v>1716.46</v>
      </c>
      <c r="F254" s="129">
        <v>1240.51</v>
      </c>
      <c r="G254" s="129">
        <v>1216.83</v>
      </c>
      <c r="H254" s="129">
        <v>1350.71</v>
      </c>
      <c r="I254" s="129">
        <v>1375.18</v>
      </c>
      <c r="J254" s="129">
        <v>1537.13</v>
      </c>
      <c r="K254" s="129">
        <v>1110.9</v>
      </c>
      <c r="L254" s="129">
        <v>1089.7</v>
      </c>
    </row>
    <row r="255" spans="1:12" ht="12.75" hidden="1">
      <c r="A255" s="129">
        <v>3830</v>
      </c>
      <c r="B255" s="129">
        <v>3849.99</v>
      </c>
      <c r="C255" s="129">
        <v>1514.04</v>
      </c>
      <c r="D255" s="129">
        <v>1541.43</v>
      </c>
      <c r="E255" s="129">
        <v>1723.39</v>
      </c>
      <c r="F255" s="129">
        <v>1245.38</v>
      </c>
      <c r="G255" s="129">
        <v>1221.7</v>
      </c>
      <c r="H255" s="129">
        <v>1355.86</v>
      </c>
      <c r="I255" s="129">
        <v>1380.38</v>
      </c>
      <c r="J255" s="129">
        <v>1543.33</v>
      </c>
      <c r="K255" s="129">
        <v>1115.27</v>
      </c>
      <c r="L255" s="129">
        <v>1094.06</v>
      </c>
    </row>
    <row r="256" spans="1:12" ht="12.75" hidden="1">
      <c r="A256" s="129">
        <v>3850</v>
      </c>
      <c r="B256" s="129">
        <v>3869.99</v>
      </c>
      <c r="C256" s="129">
        <v>1519.74</v>
      </c>
      <c r="D256" s="129">
        <v>1547.19</v>
      </c>
      <c r="E256" s="129">
        <v>1730.32</v>
      </c>
      <c r="F256" s="129">
        <v>1250.25</v>
      </c>
      <c r="G256" s="129">
        <v>1226.64</v>
      </c>
      <c r="H256" s="129">
        <v>1360.96</v>
      </c>
      <c r="I256" s="129">
        <v>1385.54</v>
      </c>
      <c r="J256" s="129">
        <v>1549.54</v>
      </c>
      <c r="K256" s="129">
        <v>1119.63</v>
      </c>
      <c r="L256" s="129">
        <v>1098.48</v>
      </c>
    </row>
    <row r="257" spans="1:12" ht="12.75" hidden="1">
      <c r="A257" s="129">
        <v>3870</v>
      </c>
      <c r="B257" s="129">
        <v>3889.99</v>
      </c>
      <c r="C257" s="129">
        <v>1525.44</v>
      </c>
      <c r="D257" s="129">
        <v>1553.01</v>
      </c>
      <c r="E257" s="129">
        <v>1737.26</v>
      </c>
      <c r="F257" s="129">
        <v>1255.12</v>
      </c>
      <c r="G257" s="129">
        <v>1231.51</v>
      </c>
      <c r="H257" s="129">
        <v>1366.06</v>
      </c>
      <c r="I257" s="129">
        <v>1390.75</v>
      </c>
      <c r="J257" s="129">
        <v>1555.75</v>
      </c>
      <c r="K257" s="129">
        <v>1123.99</v>
      </c>
      <c r="L257" s="129">
        <v>1102.84</v>
      </c>
    </row>
    <row r="258" spans="1:12" ht="12.75" hidden="1">
      <c r="A258" s="129">
        <v>3890</v>
      </c>
      <c r="B258" s="129">
        <v>3909.99</v>
      </c>
      <c r="C258" s="129">
        <v>1531.13</v>
      </c>
      <c r="D258" s="129">
        <v>1558.76</v>
      </c>
      <c r="E258" s="129">
        <v>1744.19</v>
      </c>
      <c r="F258" s="129">
        <v>1260</v>
      </c>
      <c r="G258" s="129">
        <v>1236.38</v>
      </c>
      <c r="H258" s="129">
        <v>1371.16</v>
      </c>
      <c r="I258" s="129">
        <v>1395.91</v>
      </c>
      <c r="J258" s="129">
        <v>1561.96</v>
      </c>
      <c r="K258" s="129">
        <v>1128.35</v>
      </c>
      <c r="L258" s="129">
        <v>1107.2</v>
      </c>
    </row>
    <row r="259" spans="1:12" ht="12.75" hidden="1">
      <c r="A259" s="129">
        <v>3910</v>
      </c>
      <c r="B259" s="129">
        <v>3929.99</v>
      </c>
      <c r="C259" s="129">
        <v>1536.77</v>
      </c>
      <c r="D259" s="129">
        <v>1564.51</v>
      </c>
      <c r="E259" s="129">
        <v>1751.12</v>
      </c>
      <c r="F259" s="129">
        <v>1264.87</v>
      </c>
      <c r="G259" s="129">
        <v>1241.25</v>
      </c>
      <c r="H259" s="129">
        <v>1376.21</v>
      </c>
      <c r="I259" s="129">
        <v>1401.05</v>
      </c>
      <c r="J259" s="129">
        <v>1568.17</v>
      </c>
      <c r="K259" s="129">
        <v>1132.72</v>
      </c>
      <c r="L259" s="129">
        <v>1111.57</v>
      </c>
    </row>
    <row r="260" spans="1:12" ht="12.75" hidden="1">
      <c r="A260" s="129">
        <v>3930</v>
      </c>
      <c r="B260" s="129">
        <v>3949.99</v>
      </c>
      <c r="C260" s="129">
        <v>1542.47</v>
      </c>
      <c r="D260" s="129">
        <v>1570.27</v>
      </c>
      <c r="E260" s="129">
        <v>1758.06</v>
      </c>
      <c r="F260" s="129">
        <v>1269.8</v>
      </c>
      <c r="G260" s="129">
        <v>1246.13</v>
      </c>
      <c r="H260" s="129">
        <v>1381.32</v>
      </c>
      <c r="I260" s="129">
        <v>1406.21</v>
      </c>
      <c r="J260" s="129">
        <v>1574.38</v>
      </c>
      <c r="K260" s="129">
        <v>1137.14</v>
      </c>
      <c r="L260" s="129">
        <v>1115.93</v>
      </c>
    </row>
    <row r="261" spans="1:12" ht="12.75" hidden="1">
      <c r="A261" s="129">
        <v>3950</v>
      </c>
      <c r="B261" s="129">
        <v>3969.99</v>
      </c>
      <c r="C261" s="129">
        <v>1548.11</v>
      </c>
      <c r="D261" s="129">
        <v>1575.97</v>
      </c>
      <c r="E261" s="129">
        <v>1764.99</v>
      </c>
      <c r="F261" s="129">
        <v>1274.67</v>
      </c>
      <c r="G261" s="129">
        <v>1251.06</v>
      </c>
      <c r="H261" s="129">
        <v>1386.37</v>
      </c>
      <c r="I261" s="129">
        <v>1411.31</v>
      </c>
      <c r="J261" s="129">
        <v>1580.59</v>
      </c>
      <c r="K261" s="129">
        <v>1141.49</v>
      </c>
      <c r="L261" s="129">
        <v>1120.35</v>
      </c>
    </row>
    <row r="262" spans="1:12" ht="12.75" hidden="1">
      <c r="A262" s="129">
        <v>3970</v>
      </c>
      <c r="B262" s="129">
        <v>3989.99</v>
      </c>
      <c r="C262" s="129">
        <v>1553.68</v>
      </c>
      <c r="D262" s="129">
        <v>1581.67</v>
      </c>
      <c r="E262" s="129">
        <v>1771.81</v>
      </c>
      <c r="F262" s="129">
        <v>1279.55</v>
      </c>
      <c r="G262" s="129">
        <v>1255.92</v>
      </c>
      <c r="H262" s="129">
        <v>1391.36</v>
      </c>
      <c r="I262" s="129">
        <v>1416.42</v>
      </c>
      <c r="J262" s="129">
        <v>1586.69</v>
      </c>
      <c r="K262" s="129">
        <v>1145.86</v>
      </c>
      <c r="L262" s="129">
        <v>1124.71</v>
      </c>
    </row>
    <row r="263" spans="1:12" ht="12.75" hidden="1">
      <c r="A263" s="129">
        <v>3990</v>
      </c>
      <c r="B263" s="129">
        <v>4009.99</v>
      </c>
      <c r="C263" s="129">
        <v>1559.32</v>
      </c>
      <c r="D263" s="129">
        <v>1587.36</v>
      </c>
      <c r="E263" s="129">
        <v>1778.74</v>
      </c>
      <c r="F263" s="129">
        <v>1284.48</v>
      </c>
      <c r="G263" s="129">
        <v>1260.8</v>
      </c>
      <c r="H263" s="129">
        <v>1396.41</v>
      </c>
      <c r="I263" s="129">
        <v>1421.52</v>
      </c>
      <c r="J263" s="129">
        <v>1592.9</v>
      </c>
      <c r="K263" s="129">
        <v>1150.28</v>
      </c>
      <c r="L263" s="129">
        <v>1129.07</v>
      </c>
    </row>
    <row r="264" spans="1:12" ht="12.75" hidden="1">
      <c r="A264" s="129">
        <v>4010</v>
      </c>
      <c r="B264" s="129">
        <v>4029.99</v>
      </c>
      <c r="C264" s="129">
        <v>1564.91</v>
      </c>
      <c r="D264" s="129">
        <v>1593.06</v>
      </c>
      <c r="E264" s="129">
        <v>1785.56</v>
      </c>
      <c r="F264" s="129">
        <v>1289.35</v>
      </c>
      <c r="G264" s="129">
        <v>1265.67</v>
      </c>
      <c r="H264" s="129">
        <v>1401.41</v>
      </c>
      <c r="I264" s="129">
        <v>1426.62</v>
      </c>
      <c r="J264" s="129">
        <v>1599.01</v>
      </c>
      <c r="K264" s="129">
        <v>1154.65</v>
      </c>
      <c r="L264" s="129">
        <v>1133.44</v>
      </c>
    </row>
    <row r="265" spans="1:12" ht="12.75" hidden="1">
      <c r="A265" s="129">
        <v>4030</v>
      </c>
      <c r="B265" s="129">
        <v>4049.99</v>
      </c>
      <c r="C265" s="129">
        <v>1570.54</v>
      </c>
      <c r="D265" s="129">
        <v>1598.69</v>
      </c>
      <c r="E265" s="129">
        <v>1792.49</v>
      </c>
      <c r="F265" s="129">
        <v>1294.22</v>
      </c>
      <c r="G265" s="129">
        <v>1270.54</v>
      </c>
      <c r="H265" s="129">
        <v>1406.45</v>
      </c>
      <c r="I265" s="129">
        <v>1431.67</v>
      </c>
      <c r="J265" s="129">
        <v>1605.22</v>
      </c>
      <c r="K265" s="129">
        <v>1159</v>
      </c>
      <c r="L265" s="129">
        <v>1137.8</v>
      </c>
    </row>
    <row r="266" spans="1:12" ht="12.75" hidden="1">
      <c r="A266" s="129">
        <v>4050</v>
      </c>
      <c r="B266" s="129">
        <v>4069.99</v>
      </c>
      <c r="C266" s="129">
        <v>1576.06</v>
      </c>
      <c r="D266" s="129">
        <v>1604.34</v>
      </c>
      <c r="E266" s="129">
        <v>1799.31</v>
      </c>
      <c r="F266" s="129">
        <v>1299.1</v>
      </c>
      <c r="G266" s="129">
        <v>1275.41</v>
      </c>
      <c r="H266" s="129">
        <v>1411.4</v>
      </c>
      <c r="I266" s="129">
        <v>1436.72</v>
      </c>
      <c r="J266" s="129">
        <v>1611.32</v>
      </c>
      <c r="K266" s="129">
        <v>1163.37</v>
      </c>
      <c r="L266" s="129">
        <v>1142.16</v>
      </c>
    </row>
    <row r="267" spans="1:12" ht="12.75" hidden="1">
      <c r="A267" s="129">
        <v>4070</v>
      </c>
      <c r="B267" s="129">
        <v>4089.99</v>
      </c>
      <c r="C267" s="129">
        <v>1581.64</v>
      </c>
      <c r="D267" s="129">
        <v>1609.97</v>
      </c>
      <c r="E267" s="129">
        <v>1806.24</v>
      </c>
      <c r="F267" s="129">
        <v>1303.97</v>
      </c>
      <c r="G267" s="129">
        <v>1280.34</v>
      </c>
      <c r="H267" s="129">
        <v>1416.4</v>
      </c>
      <c r="I267" s="129">
        <v>1441.76</v>
      </c>
      <c r="J267" s="129">
        <v>1617.53</v>
      </c>
      <c r="K267" s="129">
        <v>1167.73</v>
      </c>
      <c r="L267" s="129">
        <v>1146.58</v>
      </c>
    </row>
    <row r="268" spans="1:12" ht="12.75" hidden="1">
      <c r="A268" s="129">
        <v>4090</v>
      </c>
      <c r="B268" s="129">
        <v>4109.99</v>
      </c>
      <c r="C268" s="129">
        <v>1587.16</v>
      </c>
      <c r="D268" s="129">
        <v>1615.61</v>
      </c>
      <c r="E268" s="129">
        <v>1813.06</v>
      </c>
      <c r="F268" s="129">
        <v>1308.84</v>
      </c>
      <c r="G268" s="129">
        <v>1285.22</v>
      </c>
      <c r="H268" s="129">
        <v>1421.33</v>
      </c>
      <c r="I268" s="129">
        <v>1446.82</v>
      </c>
      <c r="J268" s="129">
        <v>1623.64</v>
      </c>
      <c r="K268" s="129">
        <v>1172.09</v>
      </c>
      <c r="L268" s="129">
        <v>1150.94</v>
      </c>
    </row>
    <row r="269" spans="1:12" ht="12.75" hidden="1">
      <c r="A269" s="129">
        <v>4110</v>
      </c>
      <c r="B269" s="129">
        <v>4129.99</v>
      </c>
      <c r="C269" s="129">
        <v>1592.68</v>
      </c>
      <c r="D269" s="129">
        <v>1621.25</v>
      </c>
      <c r="E269" s="129">
        <v>1819.87</v>
      </c>
      <c r="F269" s="129">
        <v>1313.77</v>
      </c>
      <c r="G269" s="129">
        <v>1290.09</v>
      </c>
      <c r="H269" s="129">
        <v>1426.28</v>
      </c>
      <c r="I269" s="129">
        <v>1451.86</v>
      </c>
      <c r="J269" s="129">
        <v>1629.74</v>
      </c>
      <c r="K269" s="129">
        <v>1176.51</v>
      </c>
      <c r="L269" s="129">
        <v>1155.3</v>
      </c>
    </row>
    <row r="270" spans="1:12" ht="12.75" hidden="1">
      <c r="A270" s="129">
        <v>4130</v>
      </c>
      <c r="B270" s="129">
        <v>4149.99</v>
      </c>
      <c r="C270" s="129">
        <v>1598.2</v>
      </c>
      <c r="D270" s="129">
        <v>1626.83</v>
      </c>
      <c r="E270" s="129">
        <v>1826.81</v>
      </c>
      <c r="F270" s="129">
        <v>1318.64</v>
      </c>
      <c r="G270" s="129">
        <v>1295.02</v>
      </c>
      <c r="H270" s="129">
        <v>1431.23</v>
      </c>
      <c r="I270" s="129">
        <v>1456.86</v>
      </c>
      <c r="J270" s="129">
        <v>1635.95</v>
      </c>
      <c r="K270" s="129">
        <v>1180.87</v>
      </c>
      <c r="L270" s="129">
        <v>1159.72</v>
      </c>
    </row>
    <row r="271" spans="1:12" ht="12.75" hidden="1">
      <c r="A271" s="129">
        <v>4150</v>
      </c>
      <c r="B271" s="129">
        <v>4169.99</v>
      </c>
      <c r="C271" s="129">
        <v>1603.72</v>
      </c>
      <c r="D271" s="129">
        <v>1632.41</v>
      </c>
      <c r="E271" s="129">
        <v>1833.62</v>
      </c>
      <c r="F271" s="129">
        <v>1323.52</v>
      </c>
      <c r="G271" s="129">
        <v>1299.89</v>
      </c>
      <c r="H271" s="129">
        <v>1436.17</v>
      </c>
      <c r="I271" s="129">
        <v>1461.86</v>
      </c>
      <c r="J271" s="129">
        <v>1642.05</v>
      </c>
      <c r="K271" s="129">
        <v>1185.24</v>
      </c>
      <c r="L271" s="129">
        <v>1164.08</v>
      </c>
    </row>
    <row r="272" spans="1:12" ht="12.75" hidden="1">
      <c r="A272" s="129">
        <v>4170</v>
      </c>
      <c r="B272" s="129">
        <v>4189.99</v>
      </c>
      <c r="C272" s="129">
        <v>1609.18</v>
      </c>
      <c r="D272" s="129">
        <v>1637.98</v>
      </c>
      <c r="E272" s="129">
        <v>1840.44</v>
      </c>
      <c r="F272" s="129">
        <v>1328.45</v>
      </c>
      <c r="G272" s="129">
        <v>1304.77</v>
      </c>
      <c r="H272" s="129">
        <v>1441.06</v>
      </c>
      <c r="I272" s="129">
        <v>1466.85</v>
      </c>
      <c r="J272" s="129">
        <v>1648.16</v>
      </c>
      <c r="K272" s="129">
        <v>1189.66</v>
      </c>
      <c r="L272" s="129">
        <v>1168.45</v>
      </c>
    </row>
    <row r="273" spans="1:12" ht="12.75" hidden="1">
      <c r="A273" s="129">
        <v>4190</v>
      </c>
      <c r="B273" s="129">
        <v>4209.99</v>
      </c>
      <c r="C273" s="129">
        <v>1614.64</v>
      </c>
      <c r="D273" s="129">
        <v>1643.51</v>
      </c>
      <c r="E273" s="129">
        <v>1847.26</v>
      </c>
      <c r="F273" s="129">
        <v>1333.31</v>
      </c>
      <c r="G273" s="129">
        <v>1309.64</v>
      </c>
      <c r="H273" s="129">
        <v>1445.95</v>
      </c>
      <c r="I273" s="129">
        <v>1471.8</v>
      </c>
      <c r="J273" s="129">
        <v>1654.26</v>
      </c>
      <c r="K273" s="129">
        <v>1194.01</v>
      </c>
      <c r="L273" s="129">
        <v>1172.81</v>
      </c>
    </row>
    <row r="274" spans="1:12" ht="12.75" hidden="1">
      <c r="A274" s="129">
        <v>4210</v>
      </c>
      <c r="B274" s="129">
        <v>4229.99</v>
      </c>
      <c r="C274" s="129">
        <v>1620.1</v>
      </c>
      <c r="D274" s="129">
        <v>1649.08</v>
      </c>
      <c r="E274" s="129">
        <v>1854.07</v>
      </c>
      <c r="F274" s="129">
        <v>1338.19</v>
      </c>
      <c r="G274" s="129">
        <v>1314.51</v>
      </c>
      <c r="H274" s="129">
        <v>1450.84</v>
      </c>
      <c r="I274" s="129">
        <v>1476.79</v>
      </c>
      <c r="J274" s="129">
        <v>1660.36</v>
      </c>
      <c r="K274" s="129">
        <v>1198.38</v>
      </c>
      <c r="L274" s="129">
        <v>1177.18</v>
      </c>
    </row>
    <row r="275" spans="1:12" ht="12.75" hidden="1">
      <c r="A275" s="129">
        <v>4230</v>
      </c>
      <c r="B275" s="129">
        <v>4249.99</v>
      </c>
      <c r="C275" s="129">
        <v>1625.57</v>
      </c>
      <c r="D275" s="129">
        <v>1654.54</v>
      </c>
      <c r="E275" s="129">
        <v>1860.89</v>
      </c>
      <c r="F275" s="129">
        <v>1343.06</v>
      </c>
      <c r="G275" s="129">
        <v>1319.38</v>
      </c>
      <c r="H275" s="129">
        <v>1455.73</v>
      </c>
      <c r="I275" s="129">
        <v>1481.68</v>
      </c>
      <c r="J275" s="129">
        <v>1666.47</v>
      </c>
      <c r="K275" s="129">
        <v>1202.74</v>
      </c>
      <c r="L275" s="129">
        <v>1181.54</v>
      </c>
    </row>
    <row r="276" spans="1:12" ht="12.75" hidden="1">
      <c r="A276" s="129">
        <v>4250</v>
      </c>
      <c r="B276" s="129">
        <v>4269.99</v>
      </c>
      <c r="C276" s="129">
        <v>1630.97</v>
      </c>
      <c r="D276" s="129">
        <v>1660.07</v>
      </c>
      <c r="E276" s="129">
        <v>1867.58</v>
      </c>
      <c r="F276" s="129">
        <v>1347.93</v>
      </c>
      <c r="G276" s="129">
        <v>1324.32</v>
      </c>
      <c r="H276" s="129">
        <v>1460.57</v>
      </c>
      <c r="I276" s="129">
        <v>1486.63</v>
      </c>
      <c r="J276" s="129">
        <v>1672.46</v>
      </c>
      <c r="K276" s="129">
        <v>1207.1</v>
      </c>
      <c r="L276" s="129">
        <v>1185.95</v>
      </c>
    </row>
    <row r="277" spans="1:12" ht="12.75" hidden="1">
      <c r="A277" s="129">
        <v>4270</v>
      </c>
      <c r="B277" s="129">
        <v>4289.99</v>
      </c>
      <c r="C277" s="129">
        <v>1636.37</v>
      </c>
      <c r="D277" s="129">
        <v>1665.59</v>
      </c>
      <c r="E277" s="129">
        <v>1874.41</v>
      </c>
      <c r="F277" s="129">
        <v>1352.81</v>
      </c>
      <c r="G277" s="129">
        <v>1329.19</v>
      </c>
      <c r="H277" s="129">
        <v>1465.41</v>
      </c>
      <c r="I277" s="129">
        <v>1491.57</v>
      </c>
      <c r="J277" s="129">
        <v>1678.57</v>
      </c>
      <c r="K277" s="129">
        <v>1211.47</v>
      </c>
      <c r="L277" s="129">
        <v>1190.32</v>
      </c>
    </row>
    <row r="278" spans="1:12" ht="12.75" hidden="1">
      <c r="A278" s="129">
        <v>4290</v>
      </c>
      <c r="B278" s="129">
        <v>4309.99</v>
      </c>
      <c r="C278" s="129">
        <v>1641.77</v>
      </c>
      <c r="D278" s="129">
        <v>1671.05</v>
      </c>
      <c r="E278" s="129">
        <v>1881.22</v>
      </c>
      <c r="F278" s="129">
        <v>1357.74</v>
      </c>
      <c r="G278" s="129">
        <v>1334.06</v>
      </c>
      <c r="H278" s="129">
        <v>1470.25</v>
      </c>
      <c r="I278" s="129">
        <v>1496.46</v>
      </c>
      <c r="J278" s="129">
        <v>1684.67</v>
      </c>
      <c r="K278" s="129">
        <v>1215.89</v>
      </c>
      <c r="L278" s="129">
        <v>1194.68</v>
      </c>
    </row>
    <row r="279" spans="1:12" ht="12.75" hidden="1">
      <c r="A279" s="129">
        <v>4310</v>
      </c>
      <c r="B279" s="129">
        <v>4329.99</v>
      </c>
      <c r="C279" s="129">
        <v>1647.17</v>
      </c>
      <c r="D279" s="129">
        <v>1676.51</v>
      </c>
      <c r="E279" s="129">
        <v>1888.03</v>
      </c>
      <c r="F279" s="129">
        <v>1362.61</v>
      </c>
      <c r="G279" s="129">
        <v>1338.93</v>
      </c>
      <c r="H279" s="129">
        <v>1475.08</v>
      </c>
      <c r="I279" s="129">
        <v>1501.36</v>
      </c>
      <c r="J279" s="129">
        <v>1690.78</v>
      </c>
      <c r="K279" s="129">
        <v>1220.25</v>
      </c>
      <c r="L279" s="129">
        <v>1199.05</v>
      </c>
    </row>
    <row r="280" spans="1:12" ht="12.75" hidden="1">
      <c r="A280" s="129">
        <v>4330</v>
      </c>
      <c r="B280" s="129">
        <v>4349.99</v>
      </c>
      <c r="C280" s="129">
        <v>1652.58</v>
      </c>
      <c r="D280" s="129">
        <v>1681.97</v>
      </c>
      <c r="E280" s="129">
        <v>1894.73</v>
      </c>
      <c r="F280" s="129">
        <v>1367.48</v>
      </c>
      <c r="G280" s="129">
        <v>1343.87</v>
      </c>
      <c r="H280" s="129">
        <v>1479.92</v>
      </c>
      <c r="I280" s="129">
        <v>1506.25</v>
      </c>
      <c r="J280" s="129">
        <v>1696.78</v>
      </c>
      <c r="K280" s="129">
        <v>1224.61</v>
      </c>
      <c r="L280" s="129">
        <v>1203.46</v>
      </c>
    </row>
    <row r="281" spans="1:12" ht="12.75" hidden="1">
      <c r="A281" s="129">
        <v>4350</v>
      </c>
      <c r="B281" s="129">
        <v>4369.99</v>
      </c>
      <c r="C281" s="129">
        <v>1657.92</v>
      </c>
      <c r="D281" s="129">
        <v>1687.44</v>
      </c>
      <c r="E281" s="129">
        <v>1901.55</v>
      </c>
      <c r="F281" s="129">
        <v>1372.35</v>
      </c>
      <c r="G281" s="129">
        <v>1348.73</v>
      </c>
      <c r="H281" s="129">
        <v>1484.71</v>
      </c>
      <c r="I281" s="129">
        <v>1511.14</v>
      </c>
      <c r="J281" s="129">
        <v>1702.88</v>
      </c>
      <c r="K281" s="129">
        <v>1228.97</v>
      </c>
      <c r="L281" s="129">
        <v>1207.82</v>
      </c>
    </row>
    <row r="282" spans="1:12" ht="12.75" hidden="1">
      <c r="A282" s="129">
        <v>4370</v>
      </c>
      <c r="B282" s="129">
        <v>4389.99</v>
      </c>
      <c r="C282" s="129">
        <v>1663.26</v>
      </c>
      <c r="D282" s="129">
        <v>1692.84</v>
      </c>
      <c r="E282" s="129">
        <v>1908.25</v>
      </c>
      <c r="F282" s="129">
        <v>1377.23</v>
      </c>
      <c r="G282" s="129">
        <v>1353.61</v>
      </c>
      <c r="H282" s="129">
        <v>1489.49</v>
      </c>
      <c r="I282" s="129">
        <v>1515.97</v>
      </c>
      <c r="J282" s="129">
        <v>1708.88</v>
      </c>
      <c r="K282" s="129">
        <v>1233.34</v>
      </c>
      <c r="L282" s="129">
        <v>1212.19</v>
      </c>
    </row>
    <row r="283" spans="1:12" ht="12.75" hidden="1">
      <c r="A283" s="129">
        <v>4390</v>
      </c>
      <c r="B283" s="129">
        <v>4409.99</v>
      </c>
      <c r="C283" s="129">
        <v>1668.61</v>
      </c>
      <c r="D283" s="129">
        <v>1698.24</v>
      </c>
      <c r="E283" s="129">
        <v>1915.06</v>
      </c>
      <c r="F283" s="129">
        <v>1382.16</v>
      </c>
      <c r="G283" s="129">
        <v>1358.48</v>
      </c>
      <c r="H283" s="129">
        <v>1494.28</v>
      </c>
      <c r="I283" s="129">
        <v>1520.81</v>
      </c>
      <c r="J283" s="129">
        <v>1714.98</v>
      </c>
      <c r="K283" s="129">
        <v>1237.76</v>
      </c>
      <c r="L283" s="129">
        <v>1216.55</v>
      </c>
    </row>
    <row r="284" spans="1:12" ht="12.75" hidden="1">
      <c r="A284" s="129">
        <v>4410</v>
      </c>
      <c r="B284" s="129">
        <v>4429.99</v>
      </c>
      <c r="C284" s="129">
        <v>1673.89</v>
      </c>
      <c r="D284" s="129">
        <v>1703.64</v>
      </c>
      <c r="E284" s="129">
        <v>1921.76</v>
      </c>
      <c r="F284" s="129">
        <v>1387.03</v>
      </c>
      <c r="G284" s="129">
        <v>1363.35</v>
      </c>
      <c r="H284" s="129">
        <v>1499.01</v>
      </c>
      <c r="I284" s="129">
        <v>1525.65</v>
      </c>
      <c r="J284" s="129">
        <v>1720.98</v>
      </c>
      <c r="K284" s="129">
        <v>1242.11</v>
      </c>
      <c r="L284" s="129">
        <v>1220.91</v>
      </c>
    </row>
    <row r="285" spans="1:12" ht="12.75" hidden="1">
      <c r="A285" s="129">
        <v>4430</v>
      </c>
      <c r="B285" s="129">
        <v>4449.99</v>
      </c>
      <c r="C285" s="129">
        <v>1679.18</v>
      </c>
      <c r="D285" s="129">
        <v>1709.04</v>
      </c>
      <c r="E285" s="129">
        <v>1928.46</v>
      </c>
      <c r="F285" s="129">
        <v>1391.9</v>
      </c>
      <c r="G285" s="129">
        <v>1368.28</v>
      </c>
      <c r="H285" s="129">
        <v>1503.74</v>
      </c>
      <c r="I285" s="129">
        <v>1530.49</v>
      </c>
      <c r="J285" s="129">
        <v>1726.98</v>
      </c>
      <c r="K285" s="129">
        <v>1246.48</v>
      </c>
      <c r="L285" s="129">
        <v>1225.33</v>
      </c>
    </row>
    <row r="286" spans="1:12" ht="12.75" hidden="1">
      <c r="A286" s="129">
        <v>4450</v>
      </c>
      <c r="B286" s="129">
        <v>4469.99</v>
      </c>
      <c r="C286" s="129">
        <v>1684.47</v>
      </c>
      <c r="D286" s="129">
        <v>1714.39</v>
      </c>
      <c r="E286" s="129">
        <v>1935.27</v>
      </c>
      <c r="F286" s="129">
        <v>1396.78</v>
      </c>
      <c r="G286" s="129">
        <v>1373.16</v>
      </c>
      <c r="H286" s="129">
        <v>1508.48</v>
      </c>
      <c r="I286" s="129">
        <v>1535.27</v>
      </c>
      <c r="J286" s="129">
        <v>1733.08</v>
      </c>
      <c r="K286" s="129">
        <v>1250.84</v>
      </c>
      <c r="L286" s="129">
        <v>1229.69</v>
      </c>
    </row>
    <row r="287" spans="1:12" ht="12.75" hidden="1">
      <c r="A287" s="129">
        <v>4470</v>
      </c>
      <c r="B287" s="129">
        <v>4489.99</v>
      </c>
      <c r="C287" s="129">
        <v>1689.75</v>
      </c>
      <c r="D287" s="129">
        <v>1719.73</v>
      </c>
      <c r="E287" s="129">
        <v>1941.97</v>
      </c>
      <c r="F287" s="129">
        <v>1401.71</v>
      </c>
      <c r="G287" s="129">
        <v>1378.03</v>
      </c>
      <c r="H287" s="129">
        <v>1513.21</v>
      </c>
      <c r="I287" s="129">
        <v>1540.06</v>
      </c>
      <c r="J287" s="129">
        <v>1739.08</v>
      </c>
      <c r="K287" s="129">
        <v>1255.26</v>
      </c>
      <c r="L287" s="129">
        <v>1234.06</v>
      </c>
    </row>
    <row r="288" spans="1:12" ht="12.75" hidden="1">
      <c r="A288" s="129">
        <v>4490</v>
      </c>
      <c r="B288" s="129">
        <v>4509.99</v>
      </c>
      <c r="C288" s="129">
        <v>1694.97</v>
      </c>
      <c r="D288" s="129">
        <v>1725.08</v>
      </c>
      <c r="E288" s="129">
        <v>1948.67</v>
      </c>
      <c r="F288" s="129">
        <v>1406.58</v>
      </c>
      <c r="G288" s="129">
        <v>1382.9</v>
      </c>
      <c r="H288" s="129">
        <v>1517.89</v>
      </c>
      <c r="I288" s="129">
        <v>1544.84</v>
      </c>
      <c r="J288" s="129">
        <v>1745.08</v>
      </c>
      <c r="K288" s="129">
        <v>1259.62</v>
      </c>
      <c r="L288" s="129">
        <v>1238.42</v>
      </c>
    </row>
    <row r="289" spans="1:12" ht="12.75" hidden="1">
      <c r="A289" s="129">
        <v>4510</v>
      </c>
      <c r="B289" s="129">
        <v>4529.99</v>
      </c>
      <c r="C289" s="129">
        <v>1700.26</v>
      </c>
      <c r="D289" s="129">
        <v>1730.36</v>
      </c>
      <c r="E289" s="129">
        <v>1955.37</v>
      </c>
      <c r="F289" s="129">
        <v>1411.45</v>
      </c>
      <c r="G289" s="129">
        <v>1387.77</v>
      </c>
      <c r="H289" s="129">
        <v>1522.62</v>
      </c>
      <c r="I289" s="129">
        <v>1549.58</v>
      </c>
      <c r="J289" s="129">
        <v>1751.08</v>
      </c>
      <c r="K289" s="129">
        <v>1263.98</v>
      </c>
      <c r="L289" s="129">
        <v>1242.78</v>
      </c>
    </row>
    <row r="290" spans="1:12" ht="12.75" hidden="1">
      <c r="A290" s="129">
        <v>4530</v>
      </c>
      <c r="B290" s="129">
        <v>4549.99</v>
      </c>
      <c r="C290" s="129">
        <v>1705.49</v>
      </c>
      <c r="D290" s="129">
        <v>1735.7</v>
      </c>
      <c r="E290" s="129">
        <v>1962.07</v>
      </c>
      <c r="F290" s="129">
        <v>1416.33</v>
      </c>
      <c r="G290" s="129">
        <v>1392.7</v>
      </c>
      <c r="H290" s="129">
        <v>1527.3</v>
      </c>
      <c r="I290" s="129">
        <v>1554.36</v>
      </c>
      <c r="J290" s="129">
        <v>1757.08</v>
      </c>
      <c r="K290" s="129">
        <v>1268.35</v>
      </c>
      <c r="L290" s="129">
        <v>1247.2</v>
      </c>
    </row>
    <row r="291" spans="1:12" ht="12.75" hidden="1">
      <c r="A291" s="129">
        <v>4550</v>
      </c>
      <c r="B291" s="129">
        <v>4569.99</v>
      </c>
      <c r="C291" s="129">
        <v>1710.65</v>
      </c>
      <c r="D291" s="129">
        <v>1740.99</v>
      </c>
      <c r="E291" s="129">
        <v>1968.77</v>
      </c>
      <c r="F291" s="129">
        <v>1421.19</v>
      </c>
      <c r="G291" s="129">
        <v>1397.58</v>
      </c>
      <c r="H291" s="129">
        <v>1531.93</v>
      </c>
      <c r="I291" s="129">
        <v>1559.09</v>
      </c>
      <c r="J291" s="129">
        <v>1763.08</v>
      </c>
      <c r="K291" s="129">
        <v>1272.71</v>
      </c>
      <c r="L291" s="129">
        <v>1251.56</v>
      </c>
    </row>
    <row r="292" spans="1:12" ht="12.75" hidden="1">
      <c r="A292" s="129">
        <v>4570</v>
      </c>
      <c r="B292" s="129">
        <v>4589.99</v>
      </c>
      <c r="C292" s="129">
        <v>1715.88</v>
      </c>
      <c r="D292" s="129">
        <v>1746.27</v>
      </c>
      <c r="E292" s="129">
        <v>1975.47</v>
      </c>
      <c r="F292" s="129">
        <v>1426.12</v>
      </c>
      <c r="G292" s="129">
        <v>1402.44</v>
      </c>
      <c r="H292" s="129">
        <v>1536.61</v>
      </c>
      <c r="I292" s="129">
        <v>1563.83</v>
      </c>
      <c r="J292" s="129">
        <v>1769.08</v>
      </c>
      <c r="K292" s="129">
        <v>1277.12</v>
      </c>
      <c r="L292" s="129">
        <v>1255.92</v>
      </c>
    </row>
    <row r="293" spans="1:12" ht="12.75" hidden="1">
      <c r="A293" s="129">
        <v>4590</v>
      </c>
      <c r="B293" s="129">
        <v>4609.99</v>
      </c>
      <c r="C293" s="129">
        <v>1721.04</v>
      </c>
      <c r="D293" s="129">
        <v>1751.5</v>
      </c>
      <c r="E293" s="129">
        <v>1982.05</v>
      </c>
      <c r="F293" s="129">
        <v>1431</v>
      </c>
      <c r="G293" s="129">
        <v>1407.32</v>
      </c>
      <c r="H293" s="129">
        <v>1541.23</v>
      </c>
      <c r="I293" s="129">
        <v>1568.51</v>
      </c>
      <c r="J293" s="129">
        <v>1774.97</v>
      </c>
      <c r="K293" s="129">
        <v>1281.49</v>
      </c>
      <c r="L293" s="129">
        <v>1260.29</v>
      </c>
    </row>
    <row r="294" spans="1:12" ht="12.75" hidden="1">
      <c r="A294" s="129">
        <v>4610</v>
      </c>
      <c r="B294" s="129">
        <v>4629.99</v>
      </c>
      <c r="C294" s="129">
        <v>1726.21</v>
      </c>
      <c r="D294" s="129">
        <v>1756.79</v>
      </c>
      <c r="E294" s="129">
        <v>1988.74</v>
      </c>
      <c r="F294" s="129">
        <v>1435.88</v>
      </c>
      <c r="G294" s="129">
        <v>1412.25</v>
      </c>
      <c r="H294" s="129">
        <v>1545.86</v>
      </c>
      <c r="I294" s="129">
        <v>1573.24</v>
      </c>
      <c r="J294" s="129">
        <v>1780.96</v>
      </c>
      <c r="K294" s="129">
        <v>1285.86</v>
      </c>
      <c r="L294" s="129">
        <v>1264.7</v>
      </c>
    </row>
    <row r="295" spans="1:12" ht="12.75" hidden="1">
      <c r="A295" s="129">
        <v>4630</v>
      </c>
      <c r="B295" s="129">
        <v>4649.99</v>
      </c>
      <c r="C295" s="129">
        <v>1731.38</v>
      </c>
      <c r="D295" s="129">
        <v>1762.01</v>
      </c>
      <c r="E295" s="129">
        <v>1995.44</v>
      </c>
      <c r="F295" s="129">
        <v>1440.74</v>
      </c>
      <c r="G295" s="129">
        <v>1417.12</v>
      </c>
      <c r="H295" s="129">
        <v>1550.49</v>
      </c>
      <c r="I295" s="129">
        <v>1577.92</v>
      </c>
      <c r="J295" s="129">
        <v>1786.96</v>
      </c>
      <c r="K295" s="129">
        <v>1290.22</v>
      </c>
      <c r="L295" s="129">
        <v>1269.07</v>
      </c>
    </row>
    <row r="296" spans="1:12" ht="12.75" hidden="1">
      <c r="A296" s="129">
        <v>4650</v>
      </c>
      <c r="B296" s="129">
        <v>4669.99</v>
      </c>
      <c r="C296" s="129">
        <v>1736.54</v>
      </c>
      <c r="D296" s="129">
        <v>1767.23</v>
      </c>
      <c r="E296" s="129">
        <v>2002.14</v>
      </c>
      <c r="F296" s="129">
        <v>1445.67</v>
      </c>
      <c r="G296" s="129">
        <v>1421.99</v>
      </c>
      <c r="H296" s="129">
        <v>1555.11</v>
      </c>
      <c r="I296" s="129">
        <v>1582.6</v>
      </c>
      <c r="J296" s="129">
        <v>1792.96</v>
      </c>
      <c r="K296" s="129">
        <v>1294.63</v>
      </c>
      <c r="L296" s="129">
        <v>1273.43</v>
      </c>
    </row>
    <row r="297" spans="1:12" ht="12.75" hidden="1">
      <c r="A297" s="129">
        <v>4670</v>
      </c>
      <c r="B297" s="129">
        <v>4689.99</v>
      </c>
      <c r="C297" s="129">
        <v>1741.65</v>
      </c>
      <c r="D297" s="129">
        <v>1772.46</v>
      </c>
      <c r="E297" s="129">
        <v>2008.73</v>
      </c>
      <c r="F297" s="129">
        <v>1450.55</v>
      </c>
      <c r="G297" s="129">
        <v>1426.87</v>
      </c>
      <c r="H297" s="129">
        <v>1559.69</v>
      </c>
      <c r="I297" s="129">
        <v>1587.28</v>
      </c>
      <c r="J297" s="129">
        <v>1798.86</v>
      </c>
      <c r="K297" s="129">
        <v>1299</v>
      </c>
      <c r="L297" s="129">
        <v>1277.79</v>
      </c>
    </row>
    <row r="298" spans="1:12" ht="12.75" hidden="1">
      <c r="A298" s="129">
        <v>4690</v>
      </c>
      <c r="B298" s="129">
        <v>4709.99</v>
      </c>
      <c r="C298" s="129">
        <v>1746.76</v>
      </c>
      <c r="D298" s="129">
        <v>1777.62</v>
      </c>
      <c r="E298" s="129">
        <v>2015.43</v>
      </c>
      <c r="F298" s="129">
        <v>1455.42</v>
      </c>
      <c r="G298" s="129">
        <v>1431.74</v>
      </c>
      <c r="H298" s="129">
        <v>1564.26</v>
      </c>
      <c r="I298" s="129">
        <v>1591.9</v>
      </c>
      <c r="J298" s="129">
        <v>1804.86</v>
      </c>
      <c r="K298" s="129">
        <v>1303.36</v>
      </c>
      <c r="L298" s="129">
        <v>1282.16</v>
      </c>
    </row>
    <row r="299" spans="1:12" ht="12.75" hidden="1">
      <c r="A299" s="129">
        <v>4710</v>
      </c>
      <c r="B299" s="129">
        <v>4729.99</v>
      </c>
      <c r="C299" s="129">
        <v>1751.86</v>
      </c>
      <c r="D299" s="129">
        <v>1782.86</v>
      </c>
      <c r="E299" s="129">
        <v>2022</v>
      </c>
      <c r="F299" s="129">
        <v>1460.29</v>
      </c>
      <c r="G299" s="129">
        <v>1436.67</v>
      </c>
      <c r="H299" s="129">
        <v>1568.83</v>
      </c>
      <c r="I299" s="129">
        <v>1596.59</v>
      </c>
      <c r="J299" s="129">
        <v>1810.75</v>
      </c>
      <c r="K299" s="129">
        <v>1307.72</v>
      </c>
      <c r="L299" s="129">
        <v>1286.57</v>
      </c>
    </row>
    <row r="300" spans="1:12" ht="12.75" hidden="1">
      <c r="A300" s="129">
        <v>4730</v>
      </c>
      <c r="B300" s="129">
        <v>4749.99</v>
      </c>
      <c r="C300" s="129">
        <v>1756.91</v>
      </c>
      <c r="D300" s="129">
        <v>1787.96</v>
      </c>
      <c r="E300" s="129">
        <v>2028.7</v>
      </c>
      <c r="F300" s="129">
        <v>1465.16</v>
      </c>
      <c r="G300" s="129">
        <v>1441.54</v>
      </c>
      <c r="H300" s="129">
        <v>1573.36</v>
      </c>
      <c r="I300" s="129">
        <v>1601.16</v>
      </c>
      <c r="J300" s="129">
        <v>1816.75</v>
      </c>
      <c r="K300" s="129">
        <v>1312.09</v>
      </c>
      <c r="L300" s="129">
        <v>1290.93</v>
      </c>
    </row>
    <row r="301" spans="1:12" ht="12.75" hidden="1">
      <c r="A301" s="129">
        <v>4750</v>
      </c>
      <c r="B301" s="129">
        <v>4769.99</v>
      </c>
      <c r="C301" s="129">
        <v>1762.03</v>
      </c>
      <c r="D301" s="129">
        <v>1793.13</v>
      </c>
      <c r="E301" s="129">
        <v>2035.28</v>
      </c>
      <c r="F301" s="129">
        <v>1470.09</v>
      </c>
      <c r="G301" s="129">
        <v>1446.42</v>
      </c>
      <c r="H301" s="129">
        <v>1577.93</v>
      </c>
      <c r="I301" s="129">
        <v>1605.79</v>
      </c>
      <c r="J301" s="129">
        <v>1822.64</v>
      </c>
      <c r="K301" s="129">
        <v>1316.5</v>
      </c>
      <c r="L301" s="129">
        <v>1295.3</v>
      </c>
    </row>
    <row r="302" spans="1:12" ht="12.75" hidden="1">
      <c r="A302" s="129">
        <v>4770</v>
      </c>
      <c r="B302" s="129">
        <v>4789.99</v>
      </c>
      <c r="C302" s="129">
        <v>1767.08</v>
      </c>
      <c r="D302" s="129">
        <v>1798.23</v>
      </c>
      <c r="E302" s="129">
        <v>2041.87</v>
      </c>
      <c r="F302" s="129">
        <v>1474.97</v>
      </c>
      <c r="G302" s="129">
        <v>1451.29</v>
      </c>
      <c r="H302" s="129">
        <v>1582.46</v>
      </c>
      <c r="I302" s="129">
        <v>1610.36</v>
      </c>
      <c r="J302" s="129">
        <v>1828.54</v>
      </c>
      <c r="K302" s="129">
        <v>1320.87</v>
      </c>
      <c r="L302" s="129">
        <v>1299.67</v>
      </c>
    </row>
    <row r="303" spans="1:12" ht="12.75" hidden="1">
      <c r="A303" s="129">
        <v>4790</v>
      </c>
      <c r="B303" s="129">
        <v>4809.99</v>
      </c>
      <c r="C303" s="129">
        <v>1772.12</v>
      </c>
      <c r="D303" s="129">
        <v>1803.4</v>
      </c>
      <c r="E303" s="129">
        <v>2048.44</v>
      </c>
      <c r="F303" s="129">
        <v>1479.84</v>
      </c>
      <c r="G303" s="129">
        <v>1456.22</v>
      </c>
      <c r="H303" s="129">
        <v>1586.98</v>
      </c>
      <c r="I303" s="129">
        <v>1614.98</v>
      </c>
      <c r="J303" s="129">
        <v>1834.43</v>
      </c>
      <c r="K303" s="129">
        <v>1325.23</v>
      </c>
      <c r="L303" s="129">
        <v>1304.08</v>
      </c>
    </row>
    <row r="304" spans="1:12" ht="12.75" hidden="1">
      <c r="A304" s="129">
        <v>4810</v>
      </c>
      <c r="B304" s="129">
        <v>4829.99</v>
      </c>
      <c r="C304" s="129">
        <v>1777.11</v>
      </c>
      <c r="D304" s="129">
        <v>1808.5</v>
      </c>
      <c r="E304" s="129">
        <v>2055.14</v>
      </c>
      <c r="F304" s="129">
        <v>1484.71</v>
      </c>
      <c r="G304" s="129">
        <v>1461.09</v>
      </c>
      <c r="H304" s="129">
        <v>1591.45</v>
      </c>
      <c r="I304" s="129">
        <v>1619.56</v>
      </c>
      <c r="J304" s="129">
        <v>1840.42</v>
      </c>
      <c r="K304" s="129">
        <v>1329.59</v>
      </c>
      <c r="L304" s="129">
        <v>1308.44</v>
      </c>
    </row>
    <row r="305" spans="1:12" ht="12.75" hidden="1">
      <c r="A305" s="129">
        <v>4830</v>
      </c>
      <c r="B305" s="129">
        <v>4849.99</v>
      </c>
      <c r="C305" s="129">
        <v>1782.16</v>
      </c>
      <c r="D305" s="129">
        <v>1813.62</v>
      </c>
      <c r="E305" s="129">
        <v>2061.72</v>
      </c>
      <c r="F305" s="129">
        <v>1489.58</v>
      </c>
      <c r="G305" s="129">
        <v>1465.97</v>
      </c>
      <c r="H305" s="129">
        <v>1595.96</v>
      </c>
      <c r="I305" s="129">
        <v>1624.13</v>
      </c>
      <c r="J305" s="129">
        <v>1846.31</v>
      </c>
      <c r="K305" s="129">
        <v>1333.96</v>
      </c>
      <c r="L305" s="129">
        <v>1312.81</v>
      </c>
    </row>
    <row r="306" spans="1:12" ht="12.75" hidden="1">
      <c r="A306" s="129">
        <v>4850</v>
      </c>
      <c r="B306" s="129">
        <v>4869.99</v>
      </c>
      <c r="C306" s="129">
        <v>1787.15</v>
      </c>
      <c r="D306" s="129">
        <v>1818.67</v>
      </c>
      <c r="E306" s="129">
        <v>2068.18</v>
      </c>
      <c r="F306" s="129">
        <v>1494.46</v>
      </c>
      <c r="G306" s="129">
        <v>1470.84</v>
      </c>
      <c r="H306" s="129">
        <v>1600.43</v>
      </c>
      <c r="I306" s="129">
        <v>1628.66</v>
      </c>
      <c r="J306" s="129">
        <v>1852.1</v>
      </c>
      <c r="K306" s="129">
        <v>1338.32</v>
      </c>
      <c r="L306" s="129">
        <v>1317.17</v>
      </c>
    </row>
    <row r="307" spans="1:12" ht="12.75" hidden="1">
      <c r="A307" s="129">
        <v>4870</v>
      </c>
      <c r="B307" s="129">
        <v>4889.99</v>
      </c>
      <c r="C307" s="129">
        <v>1792.14</v>
      </c>
      <c r="D307" s="129">
        <v>1823.72</v>
      </c>
      <c r="E307" s="129">
        <v>2074.76</v>
      </c>
      <c r="F307" s="129">
        <v>1499.39</v>
      </c>
      <c r="G307" s="129">
        <v>1475.71</v>
      </c>
      <c r="H307" s="129">
        <v>1604.9</v>
      </c>
      <c r="I307" s="129">
        <v>1633.18</v>
      </c>
      <c r="J307" s="129">
        <v>1858</v>
      </c>
      <c r="K307" s="129">
        <v>1342.73</v>
      </c>
      <c r="L307" s="129">
        <v>1321.53</v>
      </c>
    </row>
    <row r="308" spans="1:12" ht="12.75" hidden="1">
      <c r="A308" s="129">
        <v>4890</v>
      </c>
      <c r="B308" s="129">
        <v>4909.99</v>
      </c>
      <c r="C308" s="129">
        <v>1797.07</v>
      </c>
      <c r="D308" s="129">
        <v>1828.76</v>
      </c>
      <c r="E308" s="129">
        <v>2081.35</v>
      </c>
      <c r="F308" s="129">
        <v>1504.26</v>
      </c>
      <c r="G308" s="129">
        <v>1480.58</v>
      </c>
      <c r="H308" s="129">
        <v>1609.32</v>
      </c>
      <c r="I308" s="129">
        <v>1637.69</v>
      </c>
      <c r="J308" s="129">
        <v>1863.89</v>
      </c>
      <c r="K308" s="129">
        <v>1347.1</v>
      </c>
      <c r="L308" s="129">
        <v>1325.89</v>
      </c>
    </row>
    <row r="309" spans="1:12" ht="12.75" hidden="1">
      <c r="A309" s="129">
        <v>4910</v>
      </c>
      <c r="B309" s="129">
        <v>4929.99</v>
      </c>
      <c r="C309" s="129">
        <v>1802.06</v>
      </c>
      <c r="D309" s="129">
        <v>1833.81</v>
      </c>
      <c r="E309" s="129">
        <v>2087.93</v>
      </c>
      <c r="F309" s="129">
        <v>1509.13</v>
      </c>
      <c r="G309" s="129">
        <v>1485.51</v>
      </c>
      <c r="H309" s="129">
        <v>1613.78</v>
      </c>
      <c r="I309" s="129">
        <v>1642.22</v>
      </c>
      <c r="J309" s="129">
        <v>1869.79</v>
      </c>
      <c r="K309" s="129">
        <v>1351.46</v>
      </c>
      <c r="L309" s="129">
        <v>1330.31</v>
      </c>
    </row>
    <row r="310" spans="1:12" ht="12.75" hidden="1">
      <c r="A310" s="129">
        <v>4930</v>
      </c>
      <c r="B310" s="129">
        <v>4949.99</v>
      </c>
      <c r="C310" s="129">
        <v>1806.99</v>
      </c>
      <c r="D310" s="129">
        <v>1838.86</v>
      </c>
      <c r="E310" s="129">
        <v>2094.5</v>
      </c>
      <c r="F310" s="129">
        <v>1514.07</v>
      </c>
      <c r="G310" s="129">
        <v>1490.39</v>
      </c>
      <c r="H310" s="129">
        <v>1618.2</v>
      </c>
      <c r="I310" s="129">
        <v>1646.74</v>
      </c>
      <c r="J310" s="129">
        <v>1875.67</v>
      </c>
      <c r="K310" s="129">
        <v>1355.88</v>
      </c>
      <c r="L310" s="129">
        <v>1334.68</v>
      </c>
    </row>
    <row r="311" spans="1:12" ht="12.75" hidden="1">
      <c r="A311" s="129">
        <v>4950</v>
      </c>
      <c r="B311" s="129">
        <v>4969.99</v>
      </c>
      <c r="C311" s="129">
        <v>1811.92</v>
      </c>
      <c r="D311" s="129">
        <v>1843.85</v>
      </c>
      <c r="E311" s="129">
        <v>2101.09</v>
      </c>
      <c r="F311" s="129">
        <v>1518.94</v>
      </c>
      <c r="G311" s="129">
        <v>1495.25</v>
      </c>
      <c r="H311" s="129">
        <v>1622.62</v>
      </c>
      <c r="I311" s="129">
        <v>1651.21</v>
      </c>
      <c r="J311" s="129">
        <v>1881.57</v>
      </c>
      <c r="K311" s="129">
        <v>1360.24</v>
      </c>
      <c r="L311" s="129">
        <v>1339.03</v>
      </c>
    </row>
    <row r="312" spans="1:12" ht="12.75" hidden="1">
      <c r="A312" s="129">
        <v>4970</v>
      </c>
      <c r="B312" s="129">
        <v>4989.99</v>
      </c>
      <c r="C312" s="129">
        <v>1816.8</v>
      </c>
      <c r="D312" s="129">
        <v>1848.84</v>
      </c>
      <c r="E312" s="129">
        <v>2107.55</v>
      </c>
      <c r="F312" s="129">
        <v>1523.81</v>
      </c>
      <c r="G312" s="129">
        <v>1500.13</v>
      </c>
      <c r="H312" s="129">
        <v>1626.98</v>
      </c>
      <c r="I312" s="129">
        <v>1655.68</v>
      </c>
      <c r="J312" s="129">
        <v>1887.35</v>
      </c>
      <c r="K312" s="129">
        <v>1364.6</v>
      </c>
      <c r="L312" s="129">
        <v>1343.4</v>
      </c>
    </row>
    <row r="313" spans="1:12" ht="12.75" hidden="1">
      <c r="A313" s="129">
        <v>4990</v>
      </c>
      <c r="B313" s="129">
        <v>5009.99</v>
      </c>
      <c r="C313" s="129">
        <v>1821.73</v>
      </c>
      <c r="D313" s="129">
        <v>1853.84</v>
      </c>
      <c r="E313" s="129">
        <v>2114.13</v>
      </c>
      <c r="F313" s="129">
        <v>1528.69</v>
      </c>
      <c r="G313" s="129">
        <v>1505</v>
      </c>
      <c r="H313" s="129">
        <v>1631.4</v>
      </c>
      <c r="I313" s="129">
        <v>1660.15</v>
      </c>
      <c r="J313" s="129">
        <v>1893.25</v>
      </c>
      <c r="K313" s="129">
        <v>1368.97</v>
      </c>
      <c r="L313" s="129">
        <v>1347.76</v>
      </c>
    </row>
    <row r="314" spans="1:12" ht="12.75" hidden="1">
      <c r="A314" s="129">
        <v>5010</v>
      </c>
      <c r="B314" s="129">
        <v>5029.99</v>
      </c>
      <c r="C314" s="129">
        <v>1826.6</v>
      </c>
      <c r="D314" s="129">
        <v>1858.77</v>
      </c>
      <c r="E314" s="129">
        <v>2120.71</v>
      </c>
      <c r="F314" s="129">
        <v>1533.55</v>
      </c>
      <c r="G314" s="129">
        <v>1509.93</v>
      </c>
      <c r="H314" s="129">
        <v>1635.76</v>
      </c>
      <c r="I314" s="129">
        <v>1664.57</v>
      </c>
      <c r="J314" s="129">
        <v>1899.14</v>
      </c>
      <c r="K314" s="129">
        <v>1373.33</v>
      </c>
      <c r="L314" s="129">
        <v>1352.18</v>
      </c>
    </row>
    <row r="315" spans="1:12" ht="12.75" hidden="1">
      <c r="A315" s="129">
        <v>5030</v>
      </c>
      <c r="B315" s="129">
        <v>5049.99</v>
      </c>
      <c r="C315" s="129">
        <v>1831.47</v>
      </c>
      <c r="D315" s="129">
        <v>1863.7</v>
      </c>
      <c r="E315" s="129">
        <v>2127.18</v>
      </c>
      <c r="F315" s="129">
        <v>1538.43</v>
      </c>
      <c r="G315" s="129">
        <v>1514.8</v>
      </c>
      <c r="H315" s="129">
        <v>1640.12</v>
      </c>
      <c r="I315" s="129">
        <v>1668.98</v>
      </c>
      <c r="J315" s="129">
        <v>1904.93</v>
      </c>
      <c r="K315" s="129">
        <v>1377.7</v>
      </c>
      <c r="L315" s="129">
        <v>1356.54</v>
      </c>
    </row>
    <row r="316" spans="1:12" ht="12.75" hidden="1">
      <c r="A316" s="129">
        <v>5050</v>
      </c>
      <c r="B316" s="129">
        <v>5069.99</v>
      </c>
      <c r="C316" s="129">
        <v>1836.4</v>
      </c>
      <c r="D316" s="129">
        <v>1868.68</v>
      </c>
      <c r="E316" s="129">
        <v>2133.64</v>
      </c>
      <c r="F316" s="129">
        <v>1543.36</v>
      </c>
      <c r="G316" s="129">
        <v>1519.68</v>
      </c>
      <c r="H316" s="129">
        <v>1644.54</v>
      </c>
      <c r="I316" s="129">
        <v>1673.45</v>
      </c>
      <c r="J316" s="129">
        <v>1910.72</v>
      </c>
      <c r="K316" s="129">
        <v>1382.11</v>
      </c>
      <c r="L316" s="129">
        <v>1360.91</v>
      </c>
    </row>
    <row r="317" spans="1:12" ht="12.75" hidden="1">
      <c r="A317" s="129">
        <v>5070</v>
      </c>
      <c r="B317" s="129">
        <v>5089.99</v>
      </c>
      <c r="C317" s="129">
        <v>1841.28</v>
      </c>
      <c r="D317" s="129">
        <v>1873.56</v>
      </c>
      <c r="E317" s="129">
        <v>2140.22</v>
      </c>
      <c r="F317" s="129">
        <v>1548.23</v>
      </c>
      <c r="G317" s="129">
        <v>1524.55</v>
      </c>
      <c r="H317" s="129">
        <v>1648.91</v>
      </c>
      <c r="I317" s="129">
        <v>1677.82</v>
      </c>
      <c r="J317" s="129">
        <v>1916.62</v>
      </c>
      <c r="K317" s="129">
        <v>1386.47</v>
      </c>
      <c r="L317" s="129">
        <v>1365.27</v>
      </c>
    </row>
    <row r="318" spans="1:12" ht="12.75" hidden="1">
      <c r="A318" s="129">
        <v>5090</v>
      </c>
      <c r="B318" s="129">
        <v>5109.99</v>
      </c>
      <c r="C318" s="129">
        <v>1846.15</v>
      </c>
      <c r="D318" s="129">
        <v>1878.49</v>
      </c>
      <c r="E318" s="129">
        <v>2146.67</v>
      </c>
      <c r="F318" s="129">
        <v>1553.1</v>
      </c>
      <c r="G318" s="129">
        <v>1529.48</v>
      </c>
      <c r="H318" s="129">
        <v>1653.27</v>
      </c>
      <c r="I318" s="129">
        <v>1682.23</v>
      </c>
      <c r="J318" s="129">
        <v>1922.39</v>
      </c>
      <c r="K318" s="129">
        <v>1390.84</v>
      </c>
      <c r="L318" s="129">
        <v>1369.69</v>
      </c>
    </row>
    <row r="319" spans="1:12" ht="12.75" hidden="1">
      <c r="A319" s="129">
        <v>5110</v>
      </c>
      <c r="B319" s="129">
        <v>5129.99</v>
      </c>
      <c r="C319" s="129">
        <v>1851.02</v>
      </c>
      <c r="D319" s="129">
        <v>1883.42</v>
      </c>
      <c r="E319" s="129">
        <v>2153.14</v>
      </c>
      <c r="F319" s="129">
        <v>1558.03</v>
      </c>
      <c r="G319" s="129">
        <v>1534.35</v>
      </c>
      <c r="H319" s="129">
        <v>1657.63</v>
      </c>
      <c r="I319" s="129">
        <v>1686.65</v>
      </c>
      <c r="J319" s="129">
        <v>1928.18</v>
      </c>
      <c r="K319" s="129">
        <v>1395.25</v>
      </c>
      <c r="L319" s="129">
        <v>1374.05</v>
      </c>
    </row>
    <row r="320" spans="1:12" ht="12.75" hidden="1">
      <c r="A320" s="129">
        <v>5130</v>
      </c>
      <c r="B320" s="129">
        <v>5149.99</v>
      </c>
      <c r="C320" s="129">
        <v>1855.89</v>
      </c>
      <c r="D320" s="129">
        <v>1888.29</v>
      </c>
      <c r="E320" s="129">
        <v>2159.6</v>
      </c>
      <c r="F320" s="129">
        <v>1562.9</v>
      </c>
      <c r="G320" s="129">
        <v>1539.22</v>
      </c>
      <c r="H320" s="129">
        <v>1661.99</v>
      </c>
      <c r="I320" s="129">
        <v>1691</v>
      </c>
      <c r="J320" s="129">
        <v>1933.97</v>
      </c>
      <c r="K320" s="129">
        <v>1399.61</v>
      </c>
      <c r="L320" s="129">
        <v>1378.41</v>
      </c>
    </row>
    <row r="321" spans="1:12" ht="12.75" hidden="1">
      <c r="A321" s="129">
        <v>5150</v>
      </c>
      <c r="B321" s="129">
        <v>5169.99</v>
      </c>
      <c r="C321" s="129">
        <v>1860.82</v>
      </c>
      <c r="D321" s="129">
        <v>1893.17</v>
      </c>
      <c r="E321" s="129">
        <v>2166.18</v>
      </c>
      <c r="F321" s="129">
        <v>1567.78</v>
      </c>
      <c r="G321" s="129">
        <v>1544.1</v>
      </c>
      <c r="H321" s="129">
        <v>1666.41</v>
      </c>
      <c r="I321" s="129">
        <v>1695.37</v>
      </c>
      <c r="J321" s="129">
        <v>1939.87</v>
      </c>
      <c r="K321" s="129">
        <v>1403.98</v>
      </c>
      <c r="L321" s="129">
        <v>1382.78</v>
      </c>
    </row>
    <row r="322" spans="1:12" ht="12.75" hidden="1">
      <c r="A322" s="129">
        <v>5170</v>
      </c>
      <c r="B322" s="129">
        <v>5189.99</v>
      </c>
      <c r="C322" s="129">
        <v>1865.7</v>
      </c>
      <c r="D322" s="129">
        <v>1898.04</v>
      </c>
      <c r="E322" s="129">
        <v>2172.65</v>
      </c>
      <c r="F322" s="129">
        <v>1572.64</v>
      </c>
      <c r="G322" s="129">
        <v>1548.97</v>
      </c>
      <c r="H322" s="129">
        <v>1670.78</v>
      </c>
      <c r="I322" s="129">
        <v>1699.73</v>
      </c>
      <c r="J322" s="129">
        <v>1945.66</v>
      </c>
      <c r="K322" s="129">
        <v>1408.34</v>
      </c>
      <c r="L322" s="129">
        <v>1387.13</v>
      </c>
    </row>
    <row r="323" spans="1:12" ht="12.75" hidden="1">
      <c r="A323" s="129">
        <v>5190</v>
      </c>
      <c r="B323" s="129">
        <v>5209.99</v>
      </c>
      <c r="C323" s="129">
        <v>1870.57</v>
      </c>
      <c r="D323" s="129">
        <v>1902.91</v>
      </c>
      <c r="E323" s="129">
        <v>2179.11</v>
      </c>
      <c r="F323" s="129">
        <v>1577.52</v>
      </c>
      <c r="G323" s="129">
        <v>1553.9</v>
      </c>
      <c r="H323" s="129">
        <v>1675.13</v>
      </c>
      <c r="I323" s="129">
        <v>1704.1</v>
      </c>
      <c r="J323" s="129">
        <v>1951.44</v>
      </c>
      <c r="K323" s="129">
        <v>1412.71</v>
      </c>
      <c r="L323" s="129">
        <v>1391.55</v>
      </c>
    </row>
    <row r="324" spans="1:12" ht="12.75" hidden="1">
      <c r="A324" s="129">
        <v>5210</v>
      </c>
      <c r="B324" s="129">
        <v>5229.99</v>
      </c>
      <c r="C324" s="129">
        <v>1875.44</v>
      </c>
      <c r="D324" s="129">
        <v>1907.78</v>
      </c>
      <c r="E324" s="129">
        <v>2185.45</v>
      </c>
      <c r="F324" s="129">
        <v>1582.4</v>
      </c>
      <c r="G324" s="129">
        <v>1558.78</v>
      </c>
      <c r="H324" s="129">
        <v>1679.5</v>
      </c>
      <c r="I324" s="129">
        <v>1708.46</v>
      </c>
      <c r="J324" s="129">
        <v>1957.12</v>
      </c>
      <c r="K324" s="129">
        <v>1417.07</v>
      </c>
      <c r="L324" s="129">
        <v>1395.92</v>
      </c>
    </row>
    <row r="325" spans="1:12" ht="12.75" hidden="1">
      <c r="A325" s="129">
        <v>5230</v>
      </c>
      <c r="B325" s="129">
        <v>5249.99</v>
      </c>
      <c r="C325" s="129">
        <v>1880.31</v>
      </c>
      <c r="D325" s="129">
        <v>1912.71</v>
      </c>
      <c r="E325" s="129">
        <v>2191.92</v>
      </c>
      <c r="F325" s="129">
        <v>1587.33</v>
      </c>
      <c r="G325" s="129">
        <v>1563.65</v>
      </c>
      <c r="H325" s="129">
        <v>1683.86</v>
      </c>
      <c r="I325" s="129">
        <v>1712.87</v>
      </c>
      <c r="J325" s="129">
        <v>1962.91</v>
      </c>
      <c r="K325" s="129">
        <v>1421.49</v>
      </c>
      <c r="L325" s="129">
        <v>1400.28</v>
      </c>
    </row>
    <row r="326" spans="1:12" ht="12.75" hidden="1">
      <c r="A326" s="129">
        <v>5250</v>
      </c>
      <c r="B326" s="129">
        <v>5269.99</v>
      </c>
      <c r="C326" s="129">
        <v>1885.19</v>
      </c>
      <c r="D326" s="129">
        <v>1917.59</v>
      </c>
      <c r="E326" s="129">
        <v>2198.38</v>
      </c>
      <c r="F326" s="129">
        <v>1592.19</v>
      </c>
      <c r="G326" s="129">
        <v>1568.52</v>
      </c>
      <c r="H326" s="129">
        <v>1688.23</v>
      </c>
      <c r="I326" s="129">
        <v>1717.24</v>
      </c>
      <c r="J326" s="129">
        <v>1968.7</v>
      </c>
      <c r="K326" s="129">
        <v>1425.85</v>
      </c>
      <c r="L326" s="129">
        <v>1404.64</v>
      </c>
    </row>
    <row r="327" spans="1:12" ht="12.75" hidden="1">
      <c r="A327" s="129">
        <v>5270</v>
      </c>
      <c r="B327" s="129">
        <v>5289.99</v>
      </c>
      <c r="C327" s="129">
        <v>1890.12</v>
      </c>
      <c r="D327" s="129">
        <v>1922.45</v>
      </c>
      <c r="E327" s="129">
        <v>2204.84</v>
      </c>
      <c r="F327" s="129">
        <v>1597.07</v>
      </c>
      <c r="G327" s="129">
        <v>1573.45</v>
      </c>
      <c r="H327" s="129">
        <v>1692.64</v>
      </c>
      <c r="I327" s="129">
        <v>1721.6</v>
      </c>
      <c r="J327" s="129">
        <v>1974.49</v>
      </c>
      <c r="K327" s="129">
        <v>1430.21</v>
      </c>
      <c r="L327" s="129">
        <v>1409.06</v>
      </c>
    </row>
    <row r="328" spans="1:12" ht="12.75" hidden="1">
      <c r="A328" s="129">
        <v>5290</v>
      </c>
      <c r="B328" s="129">
        <v>5309.99</v>
      </c>
      <c r="C328" s="129">
        <v>1894.99</v>
      </c>
      <c r="D328" s="129">
        <v>1927.38</v>
      </c>
      <c r="E328" s="129">
        <v>2211.31</v>
      </c>
      <c r="F328" s="129">
        <v>1601.94</v>
      </c>
      <c r="G328" s="129">
        <v>1578.32</v>
      </c>
      <c r="H328" s="129">
        <v>1697</v>
      </c>
      <c r="I328" s="129">
        <v>1726.01</v>
      </c>
      <c r="J328" s="129">
        <v>1980.28</v>
      </c>
      <c r="K328" s="129">
        <v>1434.58</v>
      </c>
      <c r="L328" s="129">
        <v>1413.42</v>
      </c>
    </row>
    <row r="329" spans="1:12" ht="12.75" hidden="1">
      <c r="A329" s="129">
        <v>5310</v>
      </c>
      <c r="B329" s="129">
        <v>5329.99</v>
      </c>
      <c r="C329" s="129">
        <v>1899.87</v>
      </c>
      <c r="D329" s="129">
        <v>1932.26</v>
      </c>
      <c r="E329" s="129">
        <v>2217.65</v>
      </c>
      <c r="F329" s="129">
        <v>1606.81</v>
      </c>
      <c r="G329" s="129">
        <v>1583.2</v>
      </c>
      <c r="H329" s="129">
        <v>1701.37</v>
      </c>
      <c r="I329" s="129">
        <v>1730.38</v>
      </c>
      <c r="J329" s="129">
        <v>1985.96</v>
      </c>
      <c r="K329" s="129">
        <v>1438.94</v>
      </c>
      <c r="L329" s="129">
        <v>1417.79</v>
      </c>
    </row>
    <row r="330" spans="1:12" ht="12.75" hidden="1">
      <c r="A330" s="129">
        <v>5330</v>
      </c>
      <c r="B330" s="129">
        <v>5349.99</v>
      </c>
      <c r="C330" s="129">
        <v>1904.8</v>
      </c>
      <c r="D330" s="129">
        <v>1937.14</v>
      </c>
      <c r="E330" s="129">
        <v>2224.12</v>
      </c>
      <c r="F330" s="129">
        <v>1611.75</v>
      </c>
      <c r="G330" s="129">
        <v>1588.06</v>
      </c>
      <c r="H330" s="129">
        <v>1705.79</v>
      </c>
      <c r="I330" s="129">
        <v>1734.75</v>
      </c>
      <c r="J330" s="129">
        <v>1991.75</v>
      </c>
      <c r="K330" s="129">
        <v>1443.35</v>
      </c>
      <c r="L330" s="129">
        <v>1422.14</v>
      </c>
    </row>
    <row r="331" spans="1:12" ht="12.75" hidden="1">
      <c r="A331" s="129">
        <v>5350</v>
      </c>
      <c r="B331" s="129">
        <v>5369.99</v>
      </c>
      <c r="C331" s="129">
        <v>1909.66</v>
      </c>
      <c r="D331" s="129">
        <v>1942</v>
      </c>
      <c r="E331" s="129">
        <v>2230.46</v>
      </c>
      <c r="F331" s="129">
        <v>1616.62</v>
      </c>
      <c r="G331" s="129">
        <v>1592.94</v>
      </c>
      <c r="H331" s="129">
        <v>1710.14</v>
      </c>
      <c r="I331" s="129">
        <v>1739.11</v>
      </c>
      <c r="J331" s="129">
        <v>1997.43</v>
      </c>
      <c r="K331" s="129">
        <v>1447.72</v>
      </c>
      <c r="L331" s="129">
        <v>1426.51</v>
      </c>
    </row>
    <row r="332" spans="1:12" ht="12.75" hidden="1">
      <c r="A332" s="129">
        <v>5370</v>
      </c>
      <c r="B332" s="129">
        <v>5389.99</v>
      </c>
      <c r="C332" s="129">
        <v>1914.54</v>
      </c>
      <c r="D332" s="129">
        <v>1946.88</v>
      </c>
      <c r="E332" s="129">
        <v>2236.92</v>
      </c>
      <c r="F332" s="129">
        <v>1621.49</v>
      </c>
      <c r="G332" s="129">
        <v>1597.87</v>
      </c>
      <c r="H332" s="129">
        <v>1714.51</v>
      </c>
      <c r="I332" s="129">
        <v>1743.47</v>
      </c>
      <c r="J332" s="129">
        <v>2003.21</v>
      </c>
      <c r="K332" s="129">
        <v>1452.08</v>
      </c>
      <c r="L332" s="129">
        <v>1430.93</v>
      </c>
    </row>
    <row r="333" spans="1:12" ht="12.75" hidden="1">
      <c r="A333" s="129">
        <v>5390</v>
      </c>
      <c r="B333" s="129">
        <v>5409.99</v>
      </c>
      <c r="C333" s="129">
        <v>1919.42</v>
      </c>
      <c r="D333" s="129">
        <v>1951.75</v>
      </c>
      <c r="E333" s="129">
        <v>2243.26</v>
      </c>
      <c r="F333" s="129">
        <v>1626.36</v>
      </c>
      <c r="G333" s="129">
        <v>1602.75</v>
      </c>
      <c r="H333" s="129">
        <v>1718.88</v>
      </c>
      <c r="I333" s="129">
        <v>1747.84</v>
      </c>
      <c r="J333" s="129">
        <v>2008.89</v>
      </c>
      <c r="K333" s="129">
        <v>1456.44</v>
      </c>
      <c r="L333" s="129">
        <v>1435.3</v>
      </c>
    </row>
    <row r="334" spans="1:12" ht="12.75" hidden="1">
      <c r="A334" s="129">
        <v>5410</v>
      </c>
      <c r="B334" s="129">
        <v>5429.99</v>
      </c>
      <c r="C334" s="129">
        <v>1924.28</v>
      </c>
      <c r="D334" s="129">
        <v>1956.68</v>
      </c>
      <c r="E334" s="129">
        <v>2249.61</v>
      </c>
      <c r="F334" s="129">
        <v>1631.29</v>
      </c>
      <c r="G334" s="129">
        <v>1607.61</v>
      </c>
      <c r="H334" s="129">
        <v>1723.24</v>
      </c>
      <c r="I334" s="129">
        <v>1752.25</v>
      </c>
      <c r="J334" s="129">
        <v>2014.57</v>
      </c>
      <c r="K334" s="129">
        <v>1460.86</v>
      </c>
      <c r="L334" s="129">
        <v>1439.65</v>
      </c>
    </row>
    <row r="335" spans="1:12" ht="12.75" hidden="1">
      <c r="A335" s="129">
        <v>5430</v>
      </c>
      <c r="B335" s="129">
        <v>5449.99</v>
      </c>
      <c r="C335" s="129">
        <v>1929.16</v>
      </c>
      <c r="D335" s="129">
        <v>1961.55</v>
      </c>
      <c r="E335" s="129">
        <v>2256.07</v>
      </c>
      <c r="F335" s="129">
        <v>1636.17</v>
      </c>
      <c r="G335" s="129">
        <v>1612.49</v>
      </c>
      <c r="H335" s="129">
        <v>1727.6</v>
      </c>
      <c r="I335" s="129">
        <v>1756.61</v>
      </c>
      <c r="J335" s="129">
        <v>2020.36</v>
      </c>
      <c r="K335" s="129">
        <v>1465.22</v>
      </c>
      <c r="L335" s="129">
        <v>1444.02</v>
      </c>
    </row>
    <row r="336" spans="1:12" ht="12.75" hidden="1">
      <c r="A336" s="129">
        <v>5450</v>
      </c>
      <c r="B336" s="129">
        <v>5469.99</v>
      </c>
      <c r="C336" s="129">
        <v>1934.09</v>
      </c>
      <c r="D336" s="129">
        <v>1966.42</v>
      </c>
      <c r="E336" s="129">
        <v>2262.42</v>
      </c>
      <c r="F336" s="129">
        <v>1641.04</v>
      </c>
      <c r="G336" s="129">
        <v>1617.36</v>
      </c>
      <c r="H336" s="129">
        <v>1732.02</v>
      </c>
      <c r="I336" s="129">
        <v>1760.98</v>
      </c>
      <c r="J336" s="129">
        <v>2026.04</v>
      </c>
      <c r="K336" s="129">
        <v>1469.59</v>
      </c>
      <c r="L336" s="129">
        <v>1448.38</v>
      </c>
    </row>
    <row r="337" spans="1:12" ht="12.75" hidden="1">
      <c r="A337" s="129">
        <v>5470</v>
      </c>
      <c r="B337" s="129">
        <v>5489.99</v>
      </c>
      <c r="C337" s="129">
        <v>1938.96</v>
      </c>
      <c r="D337" s="129">
        <v>1971.3</v>
      </c>
      <c r="E337" s="129">
        <v>2268.76</v>
      </c>
      <c r="F337" s="129">
        <v>1645.91</v>
      </c>
      <c r="G337" s="129">
        <v>1622.23</v>
      </c>
      <c r="H337" s="129">
        <v>1736.38</v>
      </c>
      <c r="I337" s="129">
        <v>1765.34</v>
      </c>
      <c r="J337" s="129">
        <v>2031.73</v>
      </c>
      <c r="K337" s="129">
        <v>1473.95</v>
      </c>
      <c r="L337" s="129">
        <v>1452.74</v>
      </c>
    </row>
    <row r="338" spans="1:12" ht="12.75" hidden="1">
      <c r="A338" s="129">
        <v>5490</v>
      </c>
      <c r="B338" s="129" t="s">
        <v>132</v>
      </c>
      <c r="C338" s="129">
        <v>1943.83</v>
      </c>
      <c r="D338" s="129">
        <v>1976.17</v>
      </c>
      <c r="E338" s="129">
        <v>2275.11</v>
      </c>
      <c r="F338" s="129">
        <v>1650.79</v>
      </c>
      <c r="G338" s="129">
        <v>1627.16</v>
      </c>
      <c r="H338" s="129">
        <v>1740.74</v>
      </c>
      <c r="I338" s="129">
        <v>1769.7</v>
      </c>
      <c r="J338" s="129">
        <v>2037.41</v>
      </c>
      <c r="K338" s="129">
        <v>1478.32</v>
      </c>
      <c r="L338" s="129">
        <v>1457.16</v>
      </c>
    </row>
    <row r="339" spans="1:12" ht="12.75" hidden="1">
      <c r="A339" s="113"/>
      <c r="B339" s="113"/>
      <c r="C339" s="113"/>
      <c r="D339" s="113"/>
      <c r="E339" s="113"/>
      <c r="F339" s="113"/>
      <c r="G339" s="113"/>
      <c r="H339" s="113"/>
      <c r="I339" s="113"/>
      <c r="J339" s="113"/>
      <c r="K339" s="113"/>
      <c r="L339" s="113"/>
    </row>
    <row r="340" spans="1:12" ht="12.75" hidden="1">
      <c r="A340" s="113"/>
      <c r="B340" s="113"/>
      <c r="C340" s="113"/>
      <c r="D340" s="113"/>
      <c r="E340" s="113"/>
      <c r="F340" s="113"/>
      <c r="G340" s="113"/>
      <c r="H340" s="113"/>
      <c r="I340" s="113"/>
      <c r="J340" s="113"/>
      <c r="K340" s="113"/>
      <c r="L340" s="113"/>
    </row>
    <row r="341" spans="1:12" ht="12.75" hidden="1">
      <c r="A341" s="113"/>
      <c r="B341" s="113"/>
      <c r="C341" s="113"/>
      <c r="D341" s="113"/>
      <c r="E341" s="113"/>
      <c r="F341" s="113"/>
      <c r="G341" s="113"/>
      <c r="H341" s="113"/>
      <c r="I341" s="113"/>
      <c r="J341" s="113"/>
      <c r="K341" s="113"/>
      <c r="L341" s="113"/>
    </row>
    <row r="342" spans="1:12" ht="12.75" hidden="1">
      <c r="A342" s="113"/>
      <c r="B342" s="113"/>
      <c r="C342" s="113"/>
      <c r="D342" s="113"/>
      <c r="E342" s="113"/>
      <c r="F342" s="113"/>
      <c r="G342" s="113"/>
      <c r="H342" s="113"/>
      <c r="I342" s="113"/>
      <c r="J342" s="113"/>
      <c r="K342" s="113"/>
      <c r="L342" s="113"/>
    </row>
    <row r="343" spans="1:12" ht="12.75" hidden="1">
      <c r="A343" s="113"/>
      <c r="B343" s="113"/>
      <c r="C343" s="113"/>
      <c r="D343" s="113"/>
      <c r="E343" s="113"/>
      <c r="F343" s="113"/>
      <c r="G343" s="113"/>
      <c r="H343" s="113"/>
      <c r="I343" s="113"/>
      <c r="J343" s="113"/>
      <c r="K343" s="113"/>
      <c r="L343" s="113"/>
    </row>
    <row r="344" spans="1:12" ht="12.75" hidden="1">
      <c r="A344" s="113"/>
      <c r="B344" s="113"/>
      <c r="C344" s="113"/>
      <c r="D344" s="113"/>
      <c r="E344" s="113"/>
      <c r="F344" s="113"/>
      <c r="G344" s="113"/>
      <c r="H344" s="113"/>
      <c r="I344" s="113"/>
      <c r="J344" s="113"/>
      <c r="K344" s="113"/>
      <c r="L344" s="113"/>
    </row>
    <row r="345" spans="1:12" ht="12.75" hidden="1">
      <c r="A345" s="113"/>
      <c r="B345" s="113"/>
      <c r="C345" s="113"/>
      <c r="D345" s="113"/>
      <c r="E345" s="113"/>
      <c r="F345" s="113"/>
      <c r="G345" s="113"/>
      <c r="H345" s="113"/>
      <c r="I345" s="113"/>
      <c r="J345" s="113"/>
      <c r="K345" s="113"/>
      <c r="L345" s="113"/>
    </row>
    <row r="346" spans="1:12" ht="12.75" hidden="1">
      <c r="A346" s="113"/>
      <c r="B346" s="113"/>
      <c r="C346" s="113"/>
      <c r="D346" s="113"/>
      <c r="E346" s="113"/>
      <c r="F346" s="113"/>
      <c r="G346" s="113"/>
      <c r="H346" s="113"/>
      <c r="I346" s="113"/>
      <c r="J346" s="113"/>
      <c r="K346" s="113"/>
      <c r="L346" s="113"/>
    </row>
    <row r="347" spans="1:12" ht="12.75" hidden="1">
      <c r="A347" s="113"/>
      <c r="B347" s="113"/>
      <c r="C347" s="113"/>
      <c r="D347" s="113"/>
      <c r="E347" s="113"/>
      <c r="F347" s="113"/>
      <c r="G347" s="113"/>
      <c r="H347" s="113"/>
      <c r="I347" s="113"/>
      <c r="J347" s="113"/>
      <c r="K347" s="113"/>
      <c r="L347" s="113"/>
    </row>
    <row r="348" spans="1:12" ht="12.75" hidden="1">
      <c r="A348" s="113"/>
      <c r="B348" s="113"/>
      <c r="C348" s="113"/>
      <c r="D348" s="113"/>
      <c r="E348" s="113"/>
      <c r="F348" s="113"/>
      <c r="G348" s="113"/>
      <c r="H348" s="113"/>
      <c r="I348" s="113"/>
      <c r="J348" s="113"/>
      <c r="K348" s="113"/>
      <c r="L348" s="113"/>
    </row>
    <row r="349" spans="1:12" ht="12.75">
      <c r="A349" s="113"/>
      <c r="B349" s="113"/>
      <c r="C349" s="113"/>
      <c r="D349" s="113"/>
      <c r="E349" s="113"/>
      <c r="F349" s="113"/>
      <c r="G349" s="113"/>
      <c r="H349" s="113"/>
      <c r="I349" s="113"/>
      <c r="J349" s="113"/>
      <c r="K349" s="113"/>
      <c r="L349" s="113"/>
    </row>
    <row r="350" spans="1:12" ht="12.75">
      <c r="A350" s="113"/>
      <c r="B350" s="113"/>
      <c r="C350" s="113"/>
      <c r="D350" s="113"/>
      <c r="E350" s="113"/>
      <c r="F350" s="113"/>
      <c r="G350" s="113"/>
      <c r="H350" s="113"/>
      <c r="I350" s="113"/>
      <c r="J350" s="113"/>
      <c r="K350" s="113"/>
      <c r="L350" s="113"/>
    </row>
    <row r="351" spans="1:12" ht="12.75">
      <c r="A351" s="113"/>
      <c r="B351" s="113"/>
      <c r="C351" s="113"/>
      <c r="D351" s="113"/>
      <c r="E351" s="113"/>
      <c r="F351" s="113"/>
      <c r="G351" s="113"/>
      <c r="H351" s="113"/>
      <c r="I351" s="113"/>
      <c r="J351" s="113"/>
      <c r="K351" s="113"/>
      <c r="L351" s="113"/>
    </row>
    <row r="352" spans="1:12" ht="12.75">
      <c r="A352" s="113"/>
      <c r="B352" s="113"/>
      <c r="C352" s="113"/>
      <c r="D352" s="113"/>
      <c r="E352" s="113"/>
      <c r="F352" s="113"/>
      <c r="G352" s="113"/>
      <c r="H352" s="113"/>
      <c r="I352" s="113"/>
      <c r="J352" s="113"/>
      <c r="K352" s="113"/>
      <c r="L352" s="113"/>
    </row>
    <row r="353" spans="1:12" ht="12.75">
      <c r="A353" s="113"/>
      <c r="B353" s="113"/>
      <c r="C353" s="113"/>
      <c r="D353" s="113"/>
      <c r="E353" s="113"/>
      <c r="F353" s="113"/>
      <c r="G353" s="113"/>
      <c r="H353" s="113"/>
      <c r="I353" s="113"/>
      <c r="J353" s="113"/>
      <c r="K353" s="113"/>
      <c r="L353" s="113"/>
    </row>
    <row r="354" spans="1:12" ht="12.75">
      <c r="A354" s="113"/>
      <c r="B354" s="113"/>
      <c r="C354" s="113"/>
      <c r="D354" s="113"/>
      <c r="E354" s="113"/>
      <c r="F354" s="113"/>
      <c r="G354" s="113"/>
      <c r="H354" s="113"/>
      <c r="I354" s="113"/>
      <c r="J354" s="113"/>
      <c r="K354" s="113"/>
      <c r="L354" s="113"/>
    </row>
    <row r="355" spans="1:12" ht="12.75">
      <c r="A355" s="113"/>
      <c r="B355" s="113"/>
      <c r="C355" s="113"/>
      <c r="D355" s="113"/>
      <c r="E355" s="113"/>
      <c r="F355" s="113"/>
      <c r="G355" s="113"/>
      <c r="H355" s="113"/>
      <c r="I355" s="113"/>
      <c r="J355" s="113"/>
      <c r="K355" s="113"/>
      <c r="L355" s="113"/>
    </row>
    <row r="356" spans="1:12" ht="12.75">
      <c r="A356" s="113"/>
      <c r="B356" s="113"/>
      <c r="C356" s="113"/>
      <c r="D356" s="113"/>
      <c r="E356" s="113"/>
      <c r="F356" s="113"/>
      <c r="G356" s="113"/>
      <c r="H356" s="113"/>
      <c r="I356" s="113"/>
      <c r="J356" s="113"/>
      <c r="K356" s="113"/>
      <c r="L356" s="113"/>
    </row>
    <row r="357" spans="1:12" ht="12.75">
      <c r="A357" s="113"/>
      <c r="B357" s="113"/>
      <c r="C357" s="113"/>
      <c r="D357" s="113"/>
      <c r="E357" s="113"/>
      <c r="F357" s="113"/>
      <c r="G357" s="113"/>
      <c r="H357" s="113"/>
      <c r="I357" s="113"/>
      <c r="J357" s="113"/>
      <c r="K357" s="113"/>
      <c r="L357" s="113"/>
    </row>
    <row r="358" spans="1:12" ht="12.75">
      <c r="A358" s="113"/>
      <c r="B358" s="113"/>
      <c r="C358" s="113"/>
      <c r="D358" s="113"/>
      <c r="E358" s="113"/>
      <c r="F358" s="113"/>
      <c r="G358" s="113"/>
      <c r="H358" s="113"/>
      <c r="I358" s="113"/>
      <c r="J358" s="113"/>
      <c r="K358" s="113"/>
      <c r="L358" s="113"/>
    </row>
    <row r="359" spans="1:12" ht="12.75">
      <c r="A359" s="113"/>
      <c r="B359" s="113"/>
      <c r="C359" s="113"/>
      <c r="D359" s="113"/>
      <c r="E359" s="113"/>
      <c r="F359" s="113"/>
      <c r="G359" s="113"/>
      <c r="H359" s="113"/>
      <c r="I359" s="113"/>
      <c r="J359" s="113"/>
      <c r="K359" s="113"/>
      <c r="L359" s="113"/>
    </row>
    <row r="360" spans="1:12" ht="12.75">
      <c r="A360" s="113"/>
      <c r="B360" s="113"/>
      <c r="C360" s="113"/>
      <c r="D360" s="113"/>
      <c r="E360" s="113"/>
      <c r="F360" s="113"/>
      <c r="G360" s="113"/>
      <c r="H360" s="113"/>
      <c r="I360" s="113"/>
      <c r="J360" s="113"/>
      <c r="K360" s="113"/>
      <c r="L360" s="113"/>
    </row>
    <row r="361" spans="1:12" ht="12.75">
      <c r="A361" s="113"/>
      <c r="B361" s="113"/>
      <c r="C361" s="113"/>
      <c r="D361" s="113"/>
      <c r="E361" s="113"/>
      <c r="F361" s="113"/>
      <c r="G361" s="113"/>
      <c r="H361" s="113"/>
      <c r="I361" s="113"/>
      <c r="J361" s="113"/>
      <c r="K361" s="113"/>
      <c r="L361" s="113"/>
    </row>
  </sheetData>
  <sheetProtection/>
  <mergeCells count="6">
    <mergeCell ref="C61:G61"/>
    <mergeCell ref="H61:L61"/>
    <mergeCell ref="D42:J42"/>
    <mergeCell ref="D43:J43"/>
    <mergeCell ref="E45:J46"/>
    <mergeCell ref="E51:J51"/>
  </mergeCells>
  <conditionalFormatting sqref="B16">
    <cfRule type="cellIs" priority="1" dxfId="0" operator="between" stopIfTrue="1">
      <formula>0</formula>
      <formula>5</formula>
    </cfRule>
  </conditionalFormatting>
  <conditionalFormatting sqref="D45">
    <cfRule type="expression" priority="2" dxfId="0" stopIfTrue="1">
      <formula>AND(Eingabe!$C$6&gt;Eingabe!$D$12,Eingabe!$C$10="nein")</formula>
    </cfRule>
  </conditionalFormatting>
  <conditionalFormatting sqref="D46">
    <cfRule type="expression" priority="3" dxfId="0" stopIfTrue="1">
      <formula>AND(Eingabe!$C$6&gt;Eingabe!$D$13,Eingabe!$C$10="ja")</formula>
    </cfRule>
  </conditionalFormatting>
  <conditionalFormatting sqref="E45:J46">
    <cfRule type="expression" priority="4" dxfId="0" stopIfTrue="1">
      <formula>OR(AND(Eingabe!$C$6&gt;Eingabe!$D$13,Eingabe!$C$10="ja"),AND(Eingabe!$C$6&gt;Eingabe!$D$12,Eingabe!$C$10="nein"))</formula>
    </cfRule>
  </conditionalFormatting>
  <dataValidations count="9">
    <dataValidation type="whole" allowBlank="1" showErrorMessage="1" sqref="B7">
      <formula1>1</formula1>
      <formula2>4</formula2>
    </dataValidation>
    <dataValidation type="whole" allowBlank="1" showErrorMessage="1" sqref="B8">
      <formula1>1</formula1>
      <formula2>6</formula2>
    </dataValidation>
    <dataValidation type="whole" allowBlank="1" showErrorMessage="1" sqref="B14:B15">
      <formula1>0</formula1>
      <formula2>1</formula2>
    </dataValidation>
    <dataValidation type="whole" operator="notBetween" allowBlank="1" showErrorMessage="1" sqref="B11">
      <formula1>1</formula1>
      <formula2>7</formula2>
    </dataValidation>
    <dataValidation type="whole" allowBlank="1" showErrorMessage="1" sqref="B16">
      <formula1>0</formula1>
      <formula2>5</formula2>
    </dataValidation>
    <dataValidation type="whole" allowBlank="1" sqref="E8">
      <formula1>1</formula1>
      <formula2>6</formula2>
    </dataValidation>
    <dataValidation type="whole" operator="notBetween" allowBlank="1" sqref="E11">
      <formula1>1</formula1>
      <formula2>7</formula2>
    </dataValidation>
    <dataValidation type="whole" allowBlank="1" sqref="E7">
      <formula1>1</formula1>
      <formula2>4</formula2>
    </dataValidation>
    <dataValidation type="decimal" allowBlank="1" sqref="C42:C43">
      <formula1>0</formula1>
      <formula2>10000</formula2>
    </dataValidation>
  </dataValidations>
  <printOptions/>
  <pageMargins left="0.787401575" right="0.787401575" top="0.984251969" bottom="0.984251969"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E97"/>
  <sheetViews>
    <sheetView zoomScalePageLayoutView="0" workbookViewId="0" topLeftCell="A1">
      <selection activeCell="A2" sqref="A2"/>
    </sheetView>
  </sheetViews>
  <sheetFormatPr defaultColWidth="11.421875" defaultRowHeight="12.75"/>
  <cols>
    <col min="1" max="1" width="12.00390625" style="2" customWidth="1"/>
    <col min="2" max="2" width="13.8515625" style="2" customWidth="1"/>
    <col min="3" max="3" width="11.421875" style="2" customWidth="1"/>
    <col min="4" max="4" width="12.00390625" style="2" customWidth="1"/>
    <col min="5" max="5" width="13.8515625" style="2" customWidth="1"/>
    <col min="6" max="16384" width="11.421875" style="2" customWidth="1"/>
  </cols>
  <sheetData>
    <row r="2" spans="1:5" ht="12.75">
      <c r="A2" s="1" t="s">
        <v>0</v>
      </c>
      <c r="B2" s="1"/>
      <c r="D2" s="1" t="s">
        <v>0</v>
      </c>
      <c r="E2" s="1"/>
    </row>
    <row r="3" spans="1:5" ht="12.75">
      <c r="A3" s="2" t="s">
        <v>1</v>
      </c>
      <c r="B3" s="2">
        <f>Eingabe!$E16</f>
        <v>0</v>
      </c>
      <c r="D3" s="2" t="s">
        <v>1</v>
      </c>
      <c r="E3" s="2">
        <f>Eingabe!$E16</f>
        <v>0</v>
      </c>
    </row>
    <row r="4" spans="1:5" ht="12.75">
      <c r="A4" s="2" t="s">
        <v>2</v>
      </c>
      <c r="B4" s="2">
        <f>Eingabe!$E10</f>
        <v>0</v>
      </c>
      <c r="D4" s="2" t="s">
        <v>2</v>
      </c>
      <c r="E4" s="2">
        <f>Eingabe!$E10</f>
        <v>0</v>
      </c>
    </row>
    <row r="5" spans="1:5" ht="12.75">
      <c r="A5" s="2" t="s">
        <v>3</v>
      </c>
      <c r="B5" s="2">
        <f>Eingabe!$E7</f>
        <v>2</v>
      </c>
      <c r="D5" s="2" t="s">
        <v>3</v>
      </c>
      <c r="E5" s="2">
        <f>Eingabe!$E7</f>
        <v>2</v>
      </c>
    </row>
    <row r="6" spans="1:5" ht="12.75">
      <c r="A6" s="2" t="s">
        <v>4</v>
      </c>
      <c r="B6" s="2">
        <f>Eingabe!$E9</f>
        <v>0</v>
      </c>
      <c r="D6" s="2" t="s">
        <v>4</v>
      </c>
      <c r="E6" s="2">
        <f>Eingabe!$E9</f>
        <v>0</v>
      </c>
    </row>
    <row r="7" spans="1:5" ht="12.75">
      <c r="A7" s="2" t="s">
        <v>5</v>
      </c>
      <c r="B7" s="3">
        <f>ROUNDDOWN(IF($E5=1,Eingabe!$B6*100,IF($E5=2,(Eingabe!$B6*100)*12,IF($E5=3,((Eingabe!$B6*100)*360)/7,(Eingabe!$B6*100)*360))),2)</f>
        <v>2550000</v>
      </c>
      <c r="D7" s="2" t="s">
        <v>5</v>
      </c>
      <c r="E7" s="3">
        <f>ROUNDDOWN(IF($E5=1,Eingabe!$E6*100,IF($E5=2,(Eingabe!$E6*100)*12,IF($E5=3,((Eingabe!$E6*100)*360)/7,(Eingabe!$E6*100)*360))),2)</f>
        <v>3000000</v>
      </c>
    </row>
    <row r="8" spans="1:5" ht="12.75">
      <c r="A8" s="2" t="s">
        <v>6</v>
      </c>
      <c r="B8" s="4">
        <f>Eingabe!$E8</f>
        <v>1</v>
      </c>
      <c r="D8" s="2" t="s">
        <v>6</v>
      </c>
      <c r="E8" s="4">
        <f>Eingabe!$E8</f>
        <v>1</v>
      </c>
    </row>
    <row r="9" spans="1:5" ht="12.75">
      <c r="A9" s="2" t="s">
        <v>7</v>
      </c>
      <c r="B9" s="5">
        <f>Eingabe!$E18*100</f>
        <v>0</v>
      </c>
      <c r="C9" s="2" t="s">
        <v>8</v>
      </c>
      <c r="D9" s="2" t="s">
        <v>7</v>
      </c>
      <c r="E9" s="5">
        <f>Eingabe!$E18*100</f>
        <v>0</v>
      </c>
    </row>
    <row r="10" spans="1:5" ht="12.75">
      <c r="A10" s="2" t="s">
        <v>9</v>
      </c>
      <c r="B10" s="6">
        <f>IF($E8=6,0,Eingabe!$E17*100)</f>
        <v>0</v>
      </c>
      <c r="D10" s="2" t="s">
        <v>9</v>
      </c>
      <c r="E10" s="6">
        <f>IF($E8=6,0,Eingabe!$E17*100)</f>
        <v>0</v>
      </c>
    </row>
    <row r="11" spans="1:5" ht="12.75">
      <c r="A11" s="2" t="s">
        <v>10</v>
      </c>
      <c r="B11" s="7">
        <f>IF(Eingabe!$B14=0,66000,55800)</f>
        <v>66000</v>
      </c>
      <c r="D11" s="2" t="s">
        <v>10</v>
      </c>
      <c r="E11" s="7">
        <f>IF(Eingabe!$B14=0,66000,55800)</f>
        <v>66000</v>
      </c>
    </row>
    <row r="12" spans="1:5" ht="12.75">
      <c r="A12" s="2" t="s">
        <v>11</v>
      </c>
      <c r="B12" s="8">
        <f>IF(Eingabe!$B12&gt;15,ROUNDDOWN(IF(B5=1,Eingabe!$B12*100,IF(B5=2,(Eingabe!$B12*100)*12,IF(B5=3,((Eingabe!$B12*100)*360)/7,(Eingabe!$B12*100)*360))),2)/100,0)</f>
        <v>0</v>
      </c>
      <c r="D12" s="2" t="s">
        <v>11</v>
      </c>
      <c r="E12" s="8">
        <f>IF(Eingabe!$B12&gt;15,ROUNDDOWN(IF(E5=1,Eingabe!$B12*100,IF(E5=2,(Eingabe!$B12*100)*12,IF(E5=3,((Eingabe!$B12*100)*360)/7,(Eingabe!$B12*100)*360))),2)/100,0)</f>
        <v>0</v>
      </c>
    </row>
    <row r="13" spans="1:5" ht="12.75">
      <c r="A13" s="2" t="s">
        <v>12</v>
      </c>
      <c r="B13" s="9">
        <f>IF(Eingabe!$B15=0,0.00975,0.01475)+IF(AND(Eingabe!$B13=1,Eingabe!B$10=0),0.0025,0)</f>
        <v>0.01225</v>
      </c>
      <c r="D13" s="2" t="s">
        <v>12</v>
      </c>
      <c r="E13" s="9">
        <f>IF(Eingabe!$B15=0,0.00975,0.01475)+IF(AND(Eingabe!$B13=1,Eingabe!E$10=0),0.0025,0)</f>
        <v>0.01225</v>
      </c>
    </row>
    <row r="15" spans="1:5" ht="12.75">
      <c r="A15" s="10" t="s">
        <v>13</v>
      </c>
      <c r="B15" s="11"/>
      <c r="D15" s="10" t="s">
        <v>13</v>
      </c>
      <c r="E15" s="11"/>
    </row>
    <row r="16" spans="1:5" ht="12.75">
      <c r="A16" s="12" t="s">
        <v>14</v>
      </c>
      <c r="B16" s="2">
        <f>IF(B3=1,0.4,IF(B3=2,0.384,IF(B3=3,0.368,IF(B3=4,0.352,IF(B3=5,0.336,IF(B3=6,0.32,0))))))</f>
        <v>0</v>
      </c>
      <c r="D16" s="12" t="s">
        <v>14</v>
      </c>
      <c r="E16" s="2">
        <f>IF(E3=1,0.4,IF(E3=2,0.384,IF(E3=3,0.368,IF(E3=4,0.352,IF(E3=5,0.336,IF(E3=6,0.32,0))))))</f>
        <v>0</v>
      </c>
    </row>
    <row r="17" spans="1:5" ht="12.75">
      <c r="A17" s="2" t="s">
        <v>15</v>
      </c>
      <c r="B17" s="2">
        <f>IF(B3=1,190000,IF(B3=2,182400,IF(B3=3,174800,IF(B3=4,167200,IF(B3=5,159600,IF(B3=6,152000,0))))))</f>
        <v>0</v>
      </c>
      <c r="D17" s="2" t="s">
        <v>15</v>
      </c>
      <c r="E17" s="2">
        <f>IF(E3=1,190000,IF(E3=2,182400,IF(E3=3,174800,IF(E3=4,167200,IF(E3=5,159600,IF(E3=6,152000,0))))))</f>
        <v>0</v>
      </c>
    </row>
    <row r="18" spans="1:5" ht="12.75">
      <c r="A18" s="2" t="s">
        <v>16</v>
      </c>
      <c r="B18" s="6">
        <f>B17</f>
        <v>0</v>
      </c>
      <c r="D18" s="2" t="s">
        <v>16</v>
      </c>
      <c r="E18" s="6">
        <f>E17</f>
        <v>0</v>
      </c>
    </row>
    <row r="19" spans="1:5" ht="12.75">
      <c r="A19" s="2" t="s">
        <v>17</v>
      </c>
      <c r="B19" s="2">
        <f>IF(B3=0,0,IF((B7*B16)&gt;B18,B18,B7*B16))</f>
        <v>0</v>
      </c>
      <c r="D19" s="2" t="s">
        <v>17</v>
      </c>
      <c r="E19" s="2">
        <f>IF(E3=0,0,IF((E7*E16)&gt;E18,E18,E7*E16))</f>
        <v>0</v>
      </c>
    </row>
    <row r="20" spans="1:5" ht="12.75">
      <c r="A20" s="2" t="s">
        <v>18</v>
      </c>
      <c r="B20" s="7">
        <f>B7-B9+B10-B19</f>
        <v>2550000</v>
      </c>
      <c r="D20" s="2" t="s">
        <v>18</v>
      </c>
      <c r="E20" s="7">
        <f>E7-E9+E10-E19</f>
        <v>3000000</v>
      </c>
    </row>
    <row r="21" spans="1:5" ht="12.75">
      <c r="A21" s="2" t="s">
        <v>19</v>
      </c>
      <c r="B21" s="7">
        <f>B7-B19</f>
        <v>2550000</v>
      </c>
      <c r="D21" s="2" t="s">
        <v>19</v>
      </c>
      <c r="E21" s="7">
        <f>E7-E19</f>
        <v>3000000</v>
      </c>
    </row>
    <row r="23" spans="1:5" ht="12.75">
      <c r="A23" s="10" t="s">
        <v>20</v>
      </c>
      <c r="B23" s="11"/>
      <c r="D23" s="10" t="s">
        <v>20</v>
      </c>
      <c r="E23" s="11"/>
    </row>
    <row r="24" spans="1:5" ht="12.75">
      <c r="A24" s="2" t="s">
        <v>18</v>
      </c>
      <c r="B24" s="5">
        <f>B20/100</f>
        <v>25500</v>
      </c>
      <c r="D24" s="2" t="s">
        <v>18</v>
      </c>
      <c r="E24" s="5">
        <f>E20/100</f>
        <v>30000</v>
      </c>
    </row>
    <row r="25" spans="1:5" ht="12.75">
      <c r="A25" s="2" t="s">
        <v>19</v>
      </c>
      <c r="B25" s="5">
        <f>B21/100</f>
        <v>25500</v>
      </c>
      <c r="D25" s="2" t="s">
        <v>19</v>
      </c>
      <c r="E25" s="5">
        <f>E21/100</f>
        <v>30000</v>
      </c>
    </row>
    <row r="26" spans="2:5" ht="12.75">
      <c r="B26" s="13"/>
      <c r="E26" s="13"/>
    </row>
    <row r="27" spans="1:5" ht="12.75">
      <c r="A27" s="10" t="s">
        <v>21</v>
      </c>
      <c r="B27" s="11"/>
      <c r="D27" s="10" t="s">
        <v>21</v>
      </c>
      <c r="E27" s="11"/>
    </row>
    <row r="28" spans="1:5" ht="12.75">
      <c r="A28" s="2" t="s">
        <v>22</v>
      </c>
      <c r="B28" s="2">
        <f>IF(B8=3,2,1)</f>
        <v>1</v>
      </c>
      <c r="D28" s="2" t="s">
        <v>22</v>
      </c>
      <c r="E28" s="2">
        <f>IF(E8=3,2,1)</f>
        <v>1</v>
      </c>
    </row>
    <row r="29" spans="1:5" ht="12.75">
      <c r="A29" s="2" t="s">
        <v>23</v>
      </c>
      <c r="B29" s="2">
        <f>IF(B8&gt;5,0,920)</f>
        <v>920</v>
      </c>
      <c r="D29" s="2" t="s">
        <v>23</v>
      </c>
      <c r="E29" s="2">
        <f>IF(E8&gt;5,0,920)</f>
        <v>920</v>
      </c>
    </row>
    <row r="30" spans="1:5" ht="12.75">
      <c r="A30" s="2" t="s">
        <v>24</v>
      </c>
      <c r="B30" s="2">
        <f>IF(B8=2,1308,0)</f>
        <v>0</v>
      </c>
      <c r="C30" s="14"/>
      <c r="D30" s="2" t="s">
        <v>24</v>
      </c>
      <c r="E30" s="2">
        <f>IF(E8=2,1308,0)</f>
        <v>0</v>
      </c>
    </row>
    <row r="31" spans="1:5" ht="12.75">
      <c r="A31" s="2" t="s">
        <v>25</v>
      </c>
      <c r="B31" s="2">
        <f>IF(B8&gt;5,0,36)</f>
        <v>36</v>
      </c>
      <c r="D31" s="2" t="s">
        <v>25</v>
      </c>
      <c r="E31" s="2">
        <f>IF(E8&gt;5,0,36)</f>
        <v>36</v>
      </c>
    </row>
    <row r="32" spans="1:5" ht="12.75">
      <c r="A32" s="2" t="s">
        <v>26</v>
      </c>
      <c r="B32" s="2">
        <f>IF(B8&lt;4,B4*7008,IF(B8=4,B4*3504,0))</f>
        <v>0</v>
      </c>
      <c r="D32" s="2" t="s">
        <v>26</v>
      </c>
      <c r="E32" s="2">
        <f>IF(E8&lt;4,E4*7008,IF(E8=4,E4*3504,0))</f>
        <v>0</v>
      </c>
    </row>
    <row r="33" spans="1:5" ht="12.75">
      <c r="A33" s="2" t="s">
        <v>27</v>
      </c>
      <c r="B33" s="2">
        <f>IF(B8&lt;6,B29+B30+B31,0)</f>
        <v>956</v>
      </c>
      <c r="D33" s="2" t="s">
        <v>27</v>
      </c>
      <c r="E33" s="2">
        <f>IF(E8&lt;6,E29+E30+E31,0)</f>
        <v>956</v>
      </c>
    </row>
    <row r="35" spans="1:5" ht="12.75">
      <c r="A35" s="10" t="s">
        <v>28</v>
      </c>
      <c r="B35" s="15"/>
      <c r="D35" s="10" t="s">
        <v>28</v>
      </c>
      <c r="E35" s="15"/>
    </row>
    <row r="36" spans="1:5" ht="12.75">
      <c r="A36" s="2" t="s">
        <v>19</v>
      </c>
      <c r="B36" s="13">
        <f>MIN(B11,B25)</f>
        <v>25500</v>
      </c>
      <c r="D36" s="2" t="s">
        <v>19</v>
      </c>
      <c r="E36" s="13">
        <f>MIN(E11,E25)</f>
        <v>30000</v>
      </c>
    </row>
    <row r="37" spans="1:5" ht="12.75">
      <c r="A37" s="2" t="s">
        <v>29</v>
      </c>
      <c r="B37" s="13">
        <f>IF(B6=1,0,0.4*B36*0.0995)</f>
        <v>1014.9000000000001</v>
      </c>
      <c r="D37" s="2" t="s">
        <v>29</v>
      </c>
      <c r="E37" s="13">
        <f>IF(E6=1,0,0.4*E36*0.0995)</f>
        <v>1194</v>
      </c>
    </row>
    <row r="38" spans="1:5" ht="12.75">
      <c r="A38" s="12" t="s">
        <v>30</v>
      </c>
      <c r="B38" s="13">
        <f>IF(B28=1,1900,3000)</f>
        <v>1900</v>
      </c>
      <c r="D38" s="12" t="s">
        <v>30</v>
      </c>
      <c r="E38" s="13">
        <f>IF(E28=1,1900,3000)</f>
        <v>1900</v>
      </c>
    </row>
    <row r="39" spans="1:5" ht="12.75">
      <c r="A39" s="12" t="s">
        <v>31</v>
      </c>
      <c r="B39" s="13">
        <f>MIN(B38,0.12*B36)</f>
        <v>1900</v>
      </c>
      <c r="D39" s="12" t="s">
        <v>31</v>
      </c>
      <c r="E39" s="13">
        <f>MIN(E38,0.12*E36)</f>
        <v>1900</v>
      </c>
    </row>
    <row r="40" spans="1:5" ht="12.75">
      <c r="A40" s="12" t="s">
        <v>32</v>
      </c>
      <c r="B40" s="16">
        <f>IF(Eingabe!B12=0,0,0.076+B13)</f>
        <v>0.08825</v>
      </c>
      <c r="D40" s="12" t="s">
        <v>32</v>
      </c>
      <c r="E40" s="16">
        <f>IF(Eingabe!E12=0,0,0.076+E13)</f>
        <v>0.08825</v>
      </c>
    </row>
    <row r="41" spans="1:5" ht="12.75">
      <c r="A41" s="12" t="s">
        <v>33</v>
      </c>
      <c r="B41" s="13">
        <f>IF(B12&gt;0,B12,MIN(B24,45000)*B40)</f>
        <v>2250.375</v>
      </c>
      <c r="D41" s="12" t="s">
        <v>33</v>
      </c>
      <c r="E41" s="13">
        <f>IF(E12&gt;0,E12,MIN(E24,45000)*E40)</f>
        <v>2647.5</v>
      </c>
    </row>
    <row r="42" spans="1:5" ht="12.75">
      <c r="A42" s="12" t="s">
        <v>34</v>
      </c>
      <c r="B42" s="13">
        <f>IF(B41&gt;B38,B41,B39)</f>
        <v>2250.375</v>
      </c>
      <c r="D42" s="12" t="s">
        <v>34</v>
      </c>
      <c r="E42" s="13">
        <f>IF(E41&gt;E38,E41,E39)</f>
        <v>2647.5</v>
      </c>
    </row>
    <row r="43" spans="1:5" ht="12.75">
      <c r="A43" s="12" t="s">
        <v>35</v>
      </c>
      <c r="B43" s="13">
        <f>ROUNDUP(B37+B42,0)</f>
        <v>3266</v>
      </c>
      <c r="D43" s="12" t="s">
        <v>35</v>
      </c>
      <c r="E43" s="13">
        <f>ROUNDUP(E37+E42,0)</f>
        <v>3842</v>
      </c>
    </row>
    <row r="44" spans="1:5" ht="12.75">
      <c r="A44" s="12"/>
      <c r="B44" s="13"/>
      <c r="D44" s="12"/>
      <c r="E44" s="13"/>
    </row>
    <row r="45" spans="1:5" ht="12.75">
      <c r="A45" s="10" t="s">
        <v>36</v>
      </c>
      <c r="B45" s="11"/>
      <c r="D45" s="10" t="s">
        <v>36</v>
      </c>
      <c r="E45" s="11"/>
    </row>
    <row r="46" spans="1:5" ht="12.75">
      <c r="A46" s="2" t="s">
        <v>37</v>
      </c>
      <c r="B46" s="5">
        <f>ROUNDDOWN(B24-B33-B43,0)</f>
        <v>21278</v>
      </c>
      <c r="D46" s="2" t="s">
        <v>37</v>
      </c>
      <c r="E46" s="5">
        <f>ROUNDDOWN(E24-E33-E43,0)</f>
        <v>25202</v>
      </c>
    </row>
    <row r="47" spans="1:5" ht="12.75">
      <c r="A47" s="2" t="s">
        <v>38</v>
      </c>
      <c r="B47" s="5">
        <f>MAX(0,ROUNDDOWN(B46/B28,0))</f>
        <v>21278</v>
      </c>
      <c r="D47" s="2" t="s">
        <v>38</v>
      </c>
      <c r="E47" s="5">
        <f>MAX(0,ROUNDDOWN(E46/E28,0))</f>
        <v>25202</v>
      </c>
    </row>
    <row r="49" spans="1:5" ht="12.75">
      <c r="A49" s="10" t="s">
        <v>39</v>
      </c>
      <c r="B49" s="11"/>
      <c r="D49" s="10" t="s">
        <v>39</v>
      </c>
      <c r="E49" s="11"/>
    </row>
    <row r="50" spans="1:5" ht="12.75">
      <c r="A50" s="2" t="s">
        <v>40</v>
      </c>
      <c r="B50" s="2">
        <f>IF(AND(B47&gt;8004,B47&lt;13470),INT((912.17*(B47-8004)/10000+1400)*(B47-8004)/10000),IF(AND(B47&gt;13469,B47&lt;52882),INT((228.74*(B47-13469)/10000+2397)*(B47-13469)/10000+1038),IF(AND(B47&gt;52881,B47&lt;250731),INT(B47*0.42-8172),IF(B47&gt;250730,INT(B47*0.45-15694),0))))*B28</f>
        <v>3049</v>
      </c>
      <c r="D50" s="2" t="s">
        <v>40</v>
      </c>
      <c r="E50" s="2">
        <f>IF(AND(E47&gt;8004,E47&lt;13470),INT((912.17*(E47-8004)/10000+1400)*(E47-8004)/10000),IF(AND(E47&gt;13469,E47&lt;52882),INT((228.74*(E47-13469)/10000+2397)*(E47-13469)/10000+1038),IF(AND(E47&gt;52881,E47&lt;250731),INT(E47*0.42-8172),IF(E47&gt;250730,INT(E47*0.45-15694),0))))*E28</f>
        <v>4165</v>
      </c>
    </row>
    <row r="51" spans="1:4" ht="12.75">
      <c r="A51" s="17"/>
      <c r="D51" s="17"/>
    </row>
    <row r="52" spans="1:5" ht="12.75">
      <c r="A52" s="10" t="s">
        <v>41</v>
      </c>
      <c r="B52" s="11"/>
      <c r="D52" s="10" t="s">
        <v>41</v>
      </c>
      <c r="E52" s="11"/>
    </row>
    <row r="53" spans="2:5" ht="12.75">
      <c r="B53" s="5"/>
      <c r="E53" s="5"/>
    </row>
    <row r="54" spans="1:5" ht="12.75">
      <c r="A54" s="2" t="s">
        <v>42</v>
      </c>
      <c r="B54" s="5">
        <f>MIN(26441,B47)*1.25</f>
        <v>26597.5</v>
      </c>
      <c r="D54" s="2" t="s">
        <v>42</v>
      </c>
      <c r="E54" s="5">
        <f>MIN(26441,E47)*1.25</f>
        <v>31502.5</v>
      </c>
    </row>
    <row r="55" spans="1:5" ht="12.75">
      <c r="A55" s="2" t="s">
        <v>43</v>
      </c>
      <c r="B55" s="2">
        <f>IF(AND(B54&gt;8004,B54&lt;13470),INT((912.17*(B54-8004)/10000+1400)*(B54-8004)/10000),IF(AND(B54&gt;13469,B54&lt;52882),INT((228.74*(B54-13469)/10000+2397)*(B54-13469)/10000+1038),IF(AND(B54&gt;52881,B54&lt;250731),INT(B54*0.42-8172),IF(B54&gt;250730,INT(B54*0.45-15694),0))))</f>
        <v>4579</v>
      </c>
      <c r="D55" s="2" t="s">
        <v>43</v>
      </c>
      <c r="E55" s="2">
        <f>IF(AND(E54&gt;8004,E54&lt;13470),INT((912.17*(E54-8004)/10000+1400)*(E54-8004)/10000),IF(AND(E54&gt;13469,E54&lt;52882),INT((228.74*(E54-13469)/10000+2397)*(E54-13469)/10000+1038),IF(AND(E54&gt;52881,E54&lt;250731),INT(E54*0.42-8172),IF(E54&gt;250730,INT(E54*0.45-15694),0))))</f>
        <v>6104</v>
      </c>
    </row>
    <row r="56" spans="1:5" ht="12.75">
      <c r="A56" s="2" t="s">
        <v>42</v>
      </c>
      <c r="B56" s="5">
        <f>MIN(26441,B47)*0.75</f>
        <v>15958.5</v>
      </c>
      <c r="D56" s="2" t="s">
        <v>42</v>
      </c>
      <c r="E56" s="5">
        <f>MIN(26441,E47)*0.75</f>
        <v>18901.5</v>
      </c>
    </row>
    <row r="57" spans="1:5" ht="12.75">
      <c r="A57" s="2" t="s">
        <v>44</v>
      </c>
      <c r="B57" s="2">
        <f>IF(AND(B56&gt;8004,B56&lt;13470),INT((912.17*(B56-8004)/10000+1400)*(B56-8004)/10000),IF(AND(B56&gt;13469,B56&lt;52882),INT((228.74*(B56-13469)/10000+2397)*(B56-13469)/10000+1038),IF(AND(B56&gt;52881,B56&lt;250731),INT(B56*0.42-8172),IF(B56&gt;250730,INT(B56*0.45-15694),0))))</f>
        <v>1648</v>
      </c>
      <c r="D57" s="2" t="s">
        <v>44</v>
      </c>
      <c r="E57" s="2">
        <f>IF(AND(E56&gt;8004,E56&lt;13470),INT((912.17*(E56-8004)/10000+1400)*(E56-8004)/10000),IF(AND(E56&gt;13469,E56&lt;52882),INT((228.74*(E56-13469)/10000+2397)*(E56-13469)/10000+1038),IF(AND(E56&gt;52881,E56&lt;250731),INT(E56*0.42-8172),IF(E56&gt;250730,INT(E56*0.45-15694),0))))</f>
        <v>2407</v>
      </c>
    </row>
    <row r="58" spans="1:5" ht="12.75">
      <c r="A58" s="2" t="s">
        <v>45</v>
      </c>
      <c r="B58" s="5">
        <f>(B55-B57)*2</f>
        <v>5862</v>
      </c>
      <c r="D58" s="2" t="s">
        <v>45</v>
      </c>
      <c r="E58" s="5">
        <f>(E55-E57)*2</f>
        <v>7394</v>
      </c>
    </row>
    <row r="59" spans="1:5" ht="12.75">
      <c r="A59" s="2" t="s">
        <v>46</v>
      </c>
      <c r="B59" s="2">
        <f>ROUNDDOWN(MIN(B47,26441)*0.14,0)</f>
        <v>2978</v>
      </c>
      <c r="D59" s="2" t="s">
        <v>46</v>
      </c>
      <c r="E59" s="2">
        <f>ROUNDDOWN(MIN(E47,26441)*0.14,0)</f>
        <v>3528</v>
      </c>
    </row>
    <row r="60" spans="1:5" ht="12.75">
      <c r="A60" s="2" t="s">
        <v>40</v>
      </c>
      <c r="B60" s="5">
        <f>MAX(B58,B59)</f>
        <v>5862</v>
      </c>
      <c r="D60" s="2" t="s">
        <v>40</v>
      </c>
      <c r="E60" s="5">
        <f>MAX(E58,E59)</f>
        <v>7394</v>
      </c>
    </row>
    <row r="61" spans="1:5" ht="12.75">
      <c r="A61" s="2" t="s">
        <v>40</v>
      </c>
      <c r="B61" s="5">
        <f>IF(B47&gt;200584,(200584-26441)*0.42+B60,ROUNDDOWN(MAX(B47-26441,0)*0.42+B60,0))</f>
        <v>5862</v>
      </c>
      <c r="D61" s="2" t="s">
        <v>40</v>
      </c>
      <c r="E61" s="5">
        <f>IF(E47&gt;200584,(200584-26441)*0.42+E60,ROUNDDOWN(MAX(E47-26441,0)*0.42+E60,0))</f>
        <v>7394</v>
      </c>
    </row>
    <row r="62" spans="1:5" ht="12.75">
      <c r="A62" s="2" t="s">
        <v>47</v>
      </c>
      <c r="B62" s="2">
        <f>IF(AND(B47&gt;9429,B47&lt;=26441),B60,0)</f>
        <v>5862</v>
      </c>
      <c r="D62" s="2" t="s">
        <v>47</v>
      </c>
      <c r="E62" s="2">
        <f>IF(AND(E47&gt;9429,E47&lt;=26441),E60,0)</f>
        <v>7394</v>
      </c>
    </row>
    <row r="63" spans="1:5" ht="12.75">
      <c r="A63" s="2" t="s">
        <v>40</v>
      </c>
      <c r="B63" s="5">
        <f>1320</f>
        <v>1320</v>
      </c>
      <c r="D63" s="2" t="s">
        <v>40</v>
      </c>
      <c r="E63" s="5">
        <f>1320</f>
        <v>1320</v>
      </c>
    </row>
    <row r="64" spans="1:5" ht="12.75">
      <c r="A64" s="2" t="s">
        <v>40</v>
      </c>
      <c r="B64" s="5">
        <f>MIN(ROUNDDOWN(MAX(B47-9429,0)*0.42+B63,0),B61)</f>
        <v>5862</v>
      </c>
      <c r="D64" s="2" t="s">
        <v>40</v>
      </c>
      <c r="E64" s="5">
        <f>MIN(ROUNDDOWN(MAX(E47-9429,0)*0.42+E63,0),E61)</f>
        <v>7394</v>
      </c>
    </row>
    <row r="65" spans="1:5" ht="12.75">
      <c r="A65" s="2" t="s">
        <v>48</v>
      </c>
      <c r="B65" s="5">
        <f>ROUNDDOWN(MAX(B47-200584,0)*0.45+B64,0)</f>
        <v>5862</v>
      </c>
      <c r="D65" s="2" t="s">
        <v>48</v>
      </c>
      <c r="E65" s="5">
        <f>ROUNDDOWN(MAX(E47-200584,0)*0.45+E64,0)</f>
        <v>7394</v>
      </c>
    </row>
    <row r="66" spans="1:5" ht="12.75">
      <c r="A66" s="2" t="s">
        <v>49</v>
      </c>
      <c r="B66" s="2">
        <f>IF(B8&lt;5,B50,B65)</f>
        <v>3049</v>
      </c>
      <c r="D66" s="2" t="s">
        <v>49</v>
      </c>
      <c r="E66" s="2">
        <f>IF(E8&lt;5,E50,E65)</f>
        <v>4165</v>
      </c>
    </row>
    <row r="67" spans="1:5" ht="12.75">
      <c r="A67" s="2" t="s">
        <v>50</v>
      </c>
      <c r="B67" s="2">
        <f>B66*100</f>
        <v>304900</v>
      </c>
      <c r="D67" s="2" t="s">
        <v>50</v>
      </c>
      <c r="E67" s="2">
        <f>E66*100</f>
        <v>416500</v>
      </c>
    </row>
    <row r="69" spans="1:5" ht="12.75">
      <c r="A69" s="10" t="s">
        <v>51</v>
      </c>
      <c r="B69" s="11"/>
      <c r="D69" s="10" t="s">
        <v>51</v>
      </c>
      <c r="E69" s="11"/>
    </row>
    <row r="71" spans="1:5" ht="12.75">
      <c r="A71" s="2" t="s">
        <v>52</v>
      </c>
      <c r="B71" s="2">
        <f>IF(B5=1,B67,IF(B5=2,ROUNDDOWN(B67/12,0),IF(B5=3,ROUNDDOWN((B67*7)/360,0),ROUNDDOWN(B67/360,0))))</f>
        <v>25408</v>
      </c>
      <c r="D71" s="2" t="s">
        <v>52</v>
      </c>
      <c r="E71" s="2">
        <f>IF(E5=1,E67,IF(E5=2,ROUNDDOWN(E67/12,0),IF(E5=3,ROUNDDOWN((E67*7)/360,0),ROUNDDOWN(E67/360,0))))</f>
        <v>34708</v>
      </c>
    </row>
    <row r="72" spans="1:5" ht="12.75">
      <c r="A72" s="2" t="s">
        <v>27</v>
      </c>
      <c r="B72" s="2">
        <f>B32+B33</f>
        <v>956</v>
      </c>
      <c r="D72" s="2" t="s">
        <v>27</v>
      </c>
      <c r="E72" s="2">
        <f>E32+E33</f>
        <v>956</v>
      </c>
    </row>
    <row r="73" spans="1:5" ht="12.75">
      <c r="A73" s="2" t="s">
        <v>37</v>
      </c>
      <c r="B73" s="5">
        <f>B24-B43-B72</f>
        <v>21278</v>
      </c>
      <c r="D73" s="2" t="s">
        <v>37</v>
      </c>
      <c r="E73" s="5">
        <f>E24-E43-E72</f>
        <v>25202</v>
      </c>
    </row>
    <row r="74" spans="1:5" ht="12.75">
      <c r="A74" s="2" t="s">
        <v>53</v>
      </c>
      <c r="B74" s="2">
        <f>IF(B73&lt;36,0,ROUNDDOWN(B73/B28,0))</f>
        <v>21278</v>
      </c>
      <c r="D74" s="2" t="s">
        <v>53</v>
      </c>
      <c r="E74" s="2">
        <f>IF(E73&lt;36,0,ROUNDDOWN(E73/E28,0))</f>
        <v>25202</v>
      </c>
    </row>
    <row r="75" spans="1:5" ht="12.75">
      <c r="A75" s="2" t="s">
        <v>40</v>
      </c>
      <c r="B75" s="2">
        <f>IF(AND(B74&gt;8004,B74&lt;13470),INT((912.17*(B74-8004)/10000+1400)*(B74-8004)/10000),IF(AND(B74&gt;13469,B74&lt;52882),INT((228.74*(B74-13469)/10000+2397)*(B74-13469)/10000+1038),IF(AND(B74&gt;52881,B74&lt;250731),INT(B74*0.42-8172),IF(B74&gt;250730,INT(B74*0.45-15694),0))))*B28</f>
        <v>3049</v>
      </c>
      <c r="D75" s="2" t="s">
        <v>40</v>
      </c>
      <c r="E75" s="2">
        <f>IF(AND(E74&gt;8004,E74&lt;13470),INT((912.17*(E74-8004)/10000+1400)*(E74-8004)/10000),IF(AND(E74&gt;13469,E74&lt;52882),INT((228.74*(E74-13469)/10000+2397)*(E74-13469)/10000+1038),IF(AND(E74&gt;52881,E74&lt;250731),INT(E74*0.42-8172),IF(E74&gt;250730,INT(E74*0.45-15694),0))))*E28</f>
        <v>4165</v>
      </c>
    </row>
    <row r="76" spans="1:5" ht="12.75">
      <c r="A76" s="2" t="s">
        <v>54</v>
      </c>
      <c r="B76" s="2">
        <f>IF(B4&gt;0,B75,B66)</f>
        <v>3049</v>
      </c>
      <c r="D76" s="2" t="s">
        <v>54</v>
      </c>
      <c r="E76" s="2">
        <f>IF(E4&gt;0,E75,E66)</f>
        <v>4165</v>
      </c>
    </row>
    <row r="78" spans="1:5" ht="12.75">
      <c r="A78" s="10" t="s">
        <v>55</v>
      </c>
      <c r="B78" s="11"/>
      <c r="D78" s="10" t="s">
        <v>55</v>
      </c>
      <c r="E78" s="11"/>
    </row>
    <row r="79" spans="1:5" ht="12.75">
      <c r="A79" s="2" t="s">
        <v>56</v>
      </c>
      <c r="B79" s="2">
        <f>972*B28</f>
        <v>972</v>
      </c>
      <c r="D79" s="2" t="s">
        <v>56</v>
      </c>
      <c r="E79" s="2">
        <f>972*E28</f>
        <v>972</v>
      </c>
    </row>
    <row r="80" spans="1:5" ht="12.75">
      <c r="A80" s="2" t="s">
        <v>57</v>
      </c>
      <c r="B80" s="13">
        <f>ROUNDDOWN((B76*5.5)/100,2)</f>
        <v>167.69</v>
      </c>
      <c r="D80" s="2" t="s">
        <v>57</v>
      </c>
      <c r="E80" s="13">
        <f>ROUNDDOWN((E76*5.5)/100,2)</f>
        <v>229.07</v>
      </c>
    </row>
    <row r="81" spans="1:5" ht="12.75">
      <c r="A81" s="2" t="s">
        <v>58</v>
      </c>
      <c r="B81" s="13">
        <f>((B76-B79)*20)/100</f>
        <v>415.4</v>
      </c>
      <c r="D81" s="2" t="s">
        <v>58</v>
      </c>
      <c r="E81" s="13">
        <f>((E76-E79)*20)/100</f>
        <v>638.6</v>
      </c>
    </row>
    <row r="82" spans="1:5" ht="12.75">
      <c r="A82" s="2" t="s">
        <v>57</v>
      </c>
      <c r="B82" s="13">
        <f>MIN(B81,B80)</f>
        <v>167.69</v>
      </c>
      <c r="D82" s="2" t="s">
        <v>57</v>
      </c>
      <c r="E82" s="13">
        <f>MIN(E81,E80)</f>
        <v>229.07</v>
      </c>
    </row>
    <row r="83" spans="1:5" ht="12.75">
      <c r="A83" s="2" t="s">
        <v>50</v>
      </c>
      <c r="B83" s="2">
        <f>B82*100</f>
        <v>16769</v>
      </c>
      <c r="D83" s="2" t="s">
        <v>50</v>
      </c>
      <c r="E83" s="2">
        <f>E82*100</f>
        <v>22907</v>
      </c>
    </row>
    <row r="85" spans="1:5" ht="12.75">
      <c r="A85" s="10" t="s">
        <v>59</v>
      </c>
      <c r="B85" s="11"/>
      <c r="D85" s="10" t="s">
        <v>59</v>
      </c>
      <c r="E85" s="11"/>
    </row>
    <row r="86" spans="1:5" ht="12.75">
      <c r="A86" s="2" t="s">
        <v>60</v>
      </c>
      <c r="B86" s="2">
        <f>ROUNDDOWN(IF(B5=1,B83,IF(B5=2,B83/12,IF(B5=3,(B83*7)/360,B83/360))),0)</f>
        <v>1397</v>
      </c>
      <c r="D86" s="2" t="s">
        <v>60</v>
      </c>
      <c r="E86" s="2">
        <f>ROUNDDOWN(IF(E5=1,E83,IF(E5=2,E83/12,IF(E5=3,(E83*7)/360,E83/360))),0)</f>
        <v>1908</v>
      </c>
    </row>
    <row r="87" spans="1:5" ht="12.75">
      <c r="A87" s="2" t="s">
        <v>61</v>
      </c>
      <c r="B87" s="2">
        <f>IF(B76&gt;B79,B86,0)</f>
        <v>1397</v>
      </c>
      <c r="D87" s="2" t="s">
        <v>61</v>
      </c>
      <c r="E87" s="2">
        <f>IF(E76&gt;E79,E86,0)</f>
        <v>1908</v>
      </c>
    </row>
    <row r="88" spans="1:5" ht="12.75">
      <c r="A88" s="2" t="s">
        <v>50</v>
      </c>
      <c r="B88" s="2">
        <f>B76*100</f>
        <v>304900</v>
      </c>
      <c r="D88" s="2" t="s">
        <v>50</v>
      </c>
      <c r="E88" s="2">
        <f>E76*100</f>
        <v>416500</v>
      </c>
    </row>
    <row r="90" spans="1:5" ht="12.75">
      <c r="A90" s="10" t="s">
        <v>62</v>
      </c>
      <c r="B90" s="11"/>
      <c r="D90" s="10" t="s">
        <v>62</v>
      </c>
      <c r="E90" s="11"/>
    </row>
    <row r="91" spans="1:5" ht="12.75">
      <c r="A91" s="2" t="s">
        <v>60</v>
      </c>
      <c r="B91" s="2">
        <f>ROUNDDOWN(IF(B5=1,B88,IF(B5=2,B88/12,IF(B5=3,(B88*7)/360,B88/360))),0)</f>
        <v>25408</v>
      </c>
      <c r="D91" s="2" t="s">
        <v>60</v>
      </c>
      <c r="E91" s="2">
        <f>ROUNDDOWN(IF(E5=1,E88,IF(E5=2,E88/12,IF(E5=3,(E88*7)/360,E88/360))),0)</f>
        <v>34708</v>
      </c>
    </row>
    <row r="92" spans="1:5" ht="12.75">
      <c r="A92" s="2" t="s">
        <v>62</v>
      </c>
      <c r="B92" s="2">
        <f>B91</f>
        <v>25408</v>
      </c>
      <c r="D92" s="2" t="s">
        <v>62</v>
      </c>
      <c r="E92" s="2">
        <f>E91</f>
        <v>34708</v>
      </c>
    </row>
    <row r="93" spans="1:5" ht="12.75">
      <c r="A93" s="2" t="s">
        <v>50</v>
      </c>
      <c r="B93" s="2">
        <f>B81*100</f>
        <v>41540</v>
      </c>
      <c r="D93" s="2" t="s">
        <v>50</v>
      </c>
      <c r="E93" s="2">
        <f>E81*100</f>
        <v>63860</v>
      </c>
    </row>
    <row r="95" spans="1:5" ht="12.75">
      <c r="A95" s="10" t="s">
        <v>62</v>
      </c>
      <c r="B95" s="11"/>
      <c r="D95" s="10" t="s">
        <v>62</v>
      </c>
      <c r="E95" s="11"/>
    </row>
    <row r="96" spans="1:5" ht="12.75">
      <c r="A96" s="2" t="s">
        <v>60</v>
      </c>
      <c r="B96" s="2">
        <f>ROUNDDOWN(IF(B5=1,B93,IF(B5=2,B93/12,IF(B5=3,(B93*7)/360,B93/360))),0)</f>
        <v>3461</v>
      </c>
      <c r="D96" s="2" t="s">
        <v>60</v>
      </c>
      <c r="E96" s="2">
        <f>ROUNDDOWN(IF(E5=1,E93,IF(E5=2,E93/12,IF(E5=3,(E93*7)/360,E93/360))),0)</f>
        <v>5321</v>
      </c>
    </row>
    <row r="97" spans="1:5" ht="12.75">
      <c r="A97" s="2" t="s">
        <v>62</v>
      </c>
      <c r="B97" s="2">
        <f>B96</f>
        <v>3461</v>
      </c>
      <c r="D97" s="2" t="s">
        <v>62</v>
      </c>
      <c r="E97" s="2">
        <f>E96</f>
        <v>5321</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GUSTAV PARMENTIER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Kurzarbeitergeld Berechnung 2010 mit EXCEL Makro</dc:title>
  <dc:subject/>
  <dc:creator>Wolfgang</dc:creator>
  <cp:keywords/>
  <dc:description/>
  <cp:lastModifiedBy>Wolfgang</cp:lastModifiedBy>
  <dcterms:created xsi:type="dcterms:W3CDTF">2010-01-15T10:12:45Z</dcterms:created>
  <dcterms:modified xsi:type="dcterms:W3CDTF">2011-12-01T11:30:08Z</dcterms:modified>
  <cp:category/>
  <cp:version/>
  <cp:contentType/>
  <cp:contentStatus/>
</cp:coreProperties>
</file>