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80" windowHeight="10200" activeTab="1"/>
  </bookViews>
  <sheets>
    <sheet name="Stammdaten" sheetId="1" r:id="rId1"/>
    <sheet name="Gehaltsabrechnung" sheetId="2" r:id="rId2"/>
    <sheet name="Berechnen" sheetId="3" r:id="rId3"/>
    <sheet name="Lohnkonto" sheetId="4" r:id="rId4"/>
    <sheet name="Anleitung" sheetId="5" r:id="rId5"/>
  </sheets>
  <definedNames>
    <definedName name="gebdatum">'Stammdaten'!$C$24</definedName>
    <definedName name="gewJahr">'Stammdaten'!$B$3</definedName>
  </definedNames>
  <calcPr fullCalcOnLoad="1" iterate="1" iterateCount="3" iterateDelta="0.001"/>
</workbook>
</file>

<file path=xl/comments1.xml><?xml version="1.0" encoding="utf-8"?>
<comments xmlns="http://schemas.openxmlformats.org/spreadsheetml/2006/main">
  <authors>
    <author>Wolfgang</author>
  </authors>
  <commentList>
    <comment ref="B17" authorId="0">
      <text>
        <r>
          <rPr>
            <sz val="9"/>
            <rFont val="Tahoma"/>
            <family val="2"/>
          </rPr>
          <t>Hier den Krankenversicherungsbeitragssatz 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B18" authorId="0">
      <text>
        <r>
          <rPr>
            <sz val="9"/>
            <rFont val="Tahoma"/>
            <family val="2"/>
          </rPr>
          <t>Der</t>
        </r>
        <r>
          <rPr>
            <b/>
            <sz val="9"/>
            <rFont val="Tahoma"/>
            <family val="2"/>
          </rPr>
          <t xml:space="preserve"> Basistarif</t>
        </r>
        <r>
          <rPr>
            <sz val="9"/>
            <rFont val="Tahoma"/>
            <family val="2"/>
          </rPr>
          <t xml:space="preserve"> ist bei</t>
        </r>
        <r>
          <rPr>
            <b/>
            <sz val="9"/>
            <rFont val="Tahoma"/>
            <family val="2"/>
          </rPr>
          <t xml:space="preserve"> privat Versicherten</t>
        </r>
        <r>
          <rPr>
            <sz val="9"/>
            <rFont val="Tahoma"/>
            <family val="2"/>
          </rPr>
          <t xml:space="preserve"> zur Berechnung der Vorsorgepauschale notwendig. Davon wird dann ein erniedrigter (0,67% +PV-Anteil)  Arbeitgeberzuschuss abgezogen (wenn angegeben).</t>
        </r>
        <r>
          <rPr>
            <sz val="8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rFont val="Tahoma"/>
            <family val="2"/>
          </rPr>
          <t>Kirchensteuersatz:</t>
        </r>
        <r>
          <rPr>
            <sz val="9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<sst xmlns="http://schemas.openxmlformats.org/spreadsheetml/2006/main" count="474" uniqueCount="276">
  <si>
    <t>Stammdaten-Blatt:</t>
  </si>
  <si>
    <t>Lohnkonto-Blatt:</t>
  </si>
  <si>
    <t>Gehaltsabrechnung-Blatt:</t>
  </si>
  <si>
    <t xml:space="preserve">- Für die Lohnbesteuerung sind die entsprechenden Daten aus der Lohnsteuerkarte des Arbeitnehmers einzutragen. </t>
  </si>
  <si>
    <t>€</t>
  </si>
  <si>
    <t>Steuerklasse 1 - 6</t>
  </si>
  <si>
    <t>(Jahres)lohnsteuerfreibetrag auf LStKarte</t>
  </si>
  <si>
    <t>%</t>
  </si>
  <si>
    <t>Solidaritätszuschlag</t>
  </si>
  <si>
    <t>Kirchensteuer</t>
  </si>
  <si>
    <t>Mustermann, Hans</t>
  </si>
  <si>
    <t>(Jahres)hinzurechnungsbetrag</t>
  </si>
  <si>
    <t>Gesamt</t>
  </si>
  <si>
    <t>Januar</t>
  </si>
  <si>
    <t>März</t>
  </si>
  <si>
    <t>April</t>
  </si>
  <si>
    <t>Juni</t>
  </si>
  <si>
    <t>Stunden Feiertage</t>
  </si>
  <si>
    <t>Stunden Sonntage</t>
  </si>
  <si>
    <t>Name:</t>
  </si>
  <si>
    <t>Strasse:</t>
  </si>
  <si>
    <t>PLZ/Ort:</t>
  </si>
  <si>
    <t>Kinder(lt. Lohnsteuerkarte)</t>
  </si>
  <si>
    <t>(Jahres)Lohnsteuerfreibetrag</t>
  </si>
  <si>
    <t>Vorschüsse</t>
  </si>
  <si>
    <t>Sonn-, Feiertags-, Nachtzuschläge</t>
  </si>
  <si>
    <t>Fahrtgeld</t>
  </si>
  <si>
    <t>Auslagen-Erstattung</t>
  </si>
  <si>
    <t>Auszahlungsbetrag</t>
  </si>
  <si>
    <t>Hauptstrasse 23</t>
  </si>
  <si>
    <t xml:space="preserve">Ort: </t>
  </si>
  <si>
    <t xml:space="preserve">Strasse: </t>
  </si>
  <si>
    <t xml:space="preserve">Urlaubstage </t>
  </si>
  <si>
    <t xml:space="preserve">Resturlaub </t>
  </si>
  <si>
    <t>Mitarbeiter</t>
  </si>
  <si>
    <r>
      <t xml:space="preserve">Name: </t>
    </r>
    <r>
      <rPr>
        <sz val="10"/>
        <color indexed="22"/>
        <rFont val="Arial"/>
        <family val="2"/>
      </rPr>
      <t xml:space="preserve"> </t>
    </r>
  </si>
  <si>
    <t>Stunden Nachtschicht</t>
  </si>
  <si>
    <t>Stunden</t>
  </si>
  <si>
    <t>Zuschlag/Std.</t>
  </si>
  <si>
    <t>Zeitzuschläge</t>
  </si>
  <si>
    <t>Stunden n. Sonderver.</t>
  </si>
  <si>
    <t>Daten für die Lohnbesteuerung</t>
  </si>
  <si>
    <t>Monat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</si>
  <si>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</si>
  <si>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%/€</t>
  </si>
  <si>
    <t>Arbeitgeberzuschuss nein=0, ja=1</t>
  </si>
  <si>
    <t>kinderlos u. über 23jährig (PflegeV)  nein=0 ja=1</t>
  </si>
  <si>
    <t>Arbeitsstelle in Ostdeutschland nein=0 ja=1</t>
  </si>
  <si>
    <t>Arbeitsstelle in Sachsen nein=0 ja=1</t>
  </si>
  <si>
    <t>Gehalt</t>
  </si>
  <si>
    <t>Urlaubsgeld</t>
  </si>
  <si>
    <r>
      <t>vom FA mitgeteilter Ehegattenfaktor</t>
    </r>
    <r>
      <rPr>
        <sz val="8"/>
        <color indexed="12"/>
        <rFont val="Arial"/>
        <family val="2"/>
      </rPr>
      <t xml:space="preserve"> (</t>
    </r>
    <r>
      <rPr>
        <sz val="8"/>
        <color indexed="10"/>
        <rFont val="Arial"/>
        <family val="2"/>
      </rPr>
      <t>nur bei StKl IV</t>
    </r>
    <r>
      <rPr>
        <sz val="8"/>
        <color indexed="12"/>
        <rFont val="Arial"/>
        <family val="2"/>
      </rPr>
      <t>)</t>
    </r>
  </si>
  <si>
    <t>Lohnkonto</t>
  </si>
  <si>
    <t>10062 Berlin</t>
  </si>
  <si>
    <t>9,95% Rentenversicherung</t>
  </si>
  <si>
    <t xml:space="preserve">Mai </t>
  </si>
  <si>
    <t xml:space="preserve">Juli </t>
  </si>
  <si>
    <t>Lohnsteuer</t>
  </si>
  <si>
    <t>KV -AN</t>
  </si>
  <si>
    <t>RV - AN</t>
  </si>
  <si>
    <t>PV - AN</t>
  </si>
  <si>
    <t>KV - AG</t>
  </si>
  <si>
    <t>RV - AG</t>
  </si>
  <si>
    <t>PV - AG</t>
  </si>
  <si>
    <t>AV - AG</t>
  </si>
  <si>
    <t>Steuerfreie Bezüge</t>
  </si>
  <si>
    <t>AV - AN</t>
  </si>
  <si>
    <t>Umlage 1</t>
  </si>
  <si>
    <t>Insolvenzumlage</t>
  </si>
  <si>
    <t>Daten f. Arbeitgeberabgaben</t>
  </si>
  <si>
    <t>Umlagen U2 (Mutterschaftsgeld - 100%)</t>
  </si>
  <si>
    <t>Buchungsdatum</t>
  </si>
  <si>
    <t>Datum:</t>
  </si>
  <si>
    <t>parmentier.ffm@t-online.de</t>
  </si>
  <si>
    <t>Umlagen U1 (Lohnfortzahlung im Krankheitsfall - 65%)</t>
  </si>
  <si>
    <t>= Eingabezellen</t>
  </si>
  <si>
    <t>Februar</t>
  </si>
  <si>
    <t>August</t>
  </si>
  <si>
    <t>September</t>
  </si>
  <si>
    <t>Oktober</t>
  </si>
  <si>
    <t>November</t>
  </si>
  <si>
    <t>Dezember</t>
  </si>
  <si>
    <t xml:space="preserve">Das Programm ist FreeWare und kann ganz oder in Teilen frei genutzt und auch verändert werden. </t>
  </si>
  <si>
    <t>Stundenlohn</t>
  </si>
  <si>
    <t>=</t>
  </si>
  <si>
    <t>Erschwerniszulage</t>
  </si>
  <si>
    <t>L</t>
  </si>
  <si>
    <t>E</t>
  </si>
  <si>
    <t xml:space="preserve">  Vorteile sich nur steuer- und sozialversicherungspflichtig auswirken und nicht den Nettolohn beeinflussen, muss im </t>
  </si>
  <si>
    <t>Prämie</t>
  </si>
  <si>
    <r>
      <t>Umgestaltung</t>
    </r>
    <r>
      <rPr>
        <sz val="10"/>
        <rFont val="Arial"/>
        <family val="0"/>
      </rPr>
      <t xml:space="preserve"> des Blattes </t>
    </r>
    <r>
      <rPr>
        <b/>
        <sz val="10"/>
        <rFont val="Arial"/>
        <family val="2"/>
      </rPr>
      <t>Gehaltsabrechnung</t>
    </r>
  </si>
  <si>
    <r>
      <t xml:space="preserve">- Der Zellenbereich </t>
    </r>
    <r>
      <rPr>
        <b/>
        <sz val="10"/>
        <rFont val="Arial"/>
        <family val="2"/>
      </rPr>
      <t xml:space="preserve">steuerpflichtiges Brutto </t>
    </r>
    <r>
      <rPr>
        <sz val="10"/>
        <rFont val="Arial"/>
        <family val="2"/>
      </rPr>
      <t xml:space="preserve">kann nach eigenen Bedürfnissen umgestaltet werden. </t>
    </r>
    <r>
      <rPr>
        <b/>
        <sz val="10"/>
        <rFont val="Arial"/>
        <family val="2"/>
      </rPr>
      <t>Es dürfen aber keine Zeilen</t>
    </r>
    <r>
      <rPr>
        <sz val="10"/>
        <rFont val="Arial"/>
        <family val="2"/>
      </rPr>
      <t xml:space="preserve"> </t>
    </r>
  </si>
  <si>
    <t xml:space="preserve">  Zahlungen ersetzen. Auch kann man nicht benötigte Felder (aber nicht die Zeile!) löschen und z.B. nur den Bruttolohn in diesem</t>
  </si>
  <si>
    <r>
      <t xml:space="preserve">  Bereich belassen (z.B. bei einer Beschäftigung in der Gleitzone). Gleiches gilt für den Zellbereich </t>
    </r>
    <r>
      <rPr>
        <b/>
        <sz val="10"/>
        <rFont val="Arial"/>
        <family val="2"/>
      </rPr>
      <t xml:space="preserve">steuerfreie Bezüge. </t>
    </r>
  </si>
  <si>
    <t xml:space="preserve">  z.B. weitere Felder für Sonderstundenvergütung einfügen bzw. die vorhandenen löschen oder mit anderen Einmal- bzw. laufenden</t>
  </si>
  <si>
    <t>Überstunden</t>
  </si>
  <si>
    <t>Spätarbeit</t>
  </si>
  <si>
    <t>Dienstwagen 1%</t>
  </si>
  <si>
    <t>Dienstwagen, Weg zur Arbeit</t>
  </si>
  <si>
    <t>Krankenversicherung</t>
  </si>
  <si>
    <t>1,5% Arbeitslosenversicherung</t>
  </si>
  <si>
    <t xml:space="preserve">Geburtsdatum </t>
  </si>
  <si>
    <t xml:space="preserve">Eintrittsdatum </t>
  </si>
  <si>
    <t>Steuerklasse</t>
  </si>
  <si>
    <t>Kumulierte Jahreswerte</t>
  </si>
  <si>
    <t>Ges. KV</t>
  </si>
  <si>
    <t>Ges. RV</t>
  </si>
  <si>
    <t>Ges. AV</t>
  </si>
  <si>
    <t>Sol.Zuschlag</t>
  </si>
  <si>
    <t>Ges. PV</t>
  </si>
  <si>
    <t>geltwerte Vorteile einmalig</t>
  </si>
  <si>
    <t>geltwerte Vorteile laufend</t>
  </si>
  <si>
    <t>Steuer-Brutto</t>
  </si>
  <si>
    <t>Bruttolohn</t>
  </si>
  <si>
    <t>Bruttolohn (o. geltw.Vort.)</t>
  </si>
  <si>
    <t>Lohn-/Gehaltsabrechnung</t>
  </si>
  <si>
    <t>________________________________________________________</t>
  </si>
  <si>
    <t>Einmalzahlungen</t>
  </si>
  <si>
    <t>Gesamt-Netto</t>
  </si>
  <si>
    <t>http://www.vorly.de/lohn-gehaltsabrechnung</t>
  </si>
  <si>
    <t xml:space="preserve">Betrag bar erhalten. </t>
  </si>
  <si>
    <t>Datum, Unterschrift</t>
  </si>
  <si>
    <t>Arbeitgeberanteile</t>
  </si>
  <si>
    <t>steuerfreie Bezüge</t>
  </si>
  <si>
    <t xml:space="preserve">  ermittelt wird. Die Differenz der beiden Werte ist der Steueranteil für die Einmalzalung. Bei mehreren Einmalzahlungen im</t>
  </si>
  <si>
    <t xml:space="preserve">  Jahr werden die schon abgerechneten Einmalzahlungen zur Jahreslohnsteuer addiert und davon die Steuer ermittelt und</t>
  </si>
  <si>
    <r>
      <t>- Der Lohnsteueranteil für eine</t>
    </r>
    <r>
      <rPr>
        <b/>
        <sz val="10"/>
        <rFont val="Arial"/>
        <family val="2"/>
      </rPr>
      <t xml:space="preserve"> Einmalzahlung </t>
    </r>
    <r>
      <rPr>
        <sz val="10"/>
        <rFont val="Arial"/>
        <family val="2"/>
      </rPr>
      <t xml:space="preserve">wird errechnet, indem die Jahreslohnsteuer mit und ohne Einmalzahlung  </t>
    </r>
  </si>
  <si>
    <r>
      <t xml:space="preserve">  zum anderen zusätzlich mit der aktuellen Einmalzahlung. </t>
    </r>
    <r>
      <rPr>
        <b/>
        <sz val="10"/>
        <rFont val="Arial"/>
        <family val="2"/>
      </rPr>
      <t>Die schon abgerechneten Einmalzahlungen übernimmt das</t>
    </r>
  </si>
  <si>
    <r>
      <t xml:space="preserve">Krankenversicherung % bzw. </t>
    </r>
    <r>
      <rPr>
        <sz val="10"/>
        <color indexed="60"/>
        <rFont val="Arial"/>
        <family val="2"/>
      </rPr>
      <t xml:space="preserve">PKV(incl.PflegeV) in € </t>
    </r>
  </si>
  <si>
    <r>
      <t>PKV Basistarif (incl. Pflegeversicherung)</t>
    </r>
    <r>
      <rPr>
        <sz val="10"/>
        <color indexed="12"/>
        <rFont val="Arial"/>
        <family val="2"/>
      </rPr>
      <t xml:space="preserve"> </t>
    </r>
    <r>
      <rPr>
        <sz val="8"/>
        <color indexed="12"/>
        <rFont val="Arial"/>
        <family val="2"/>
      </rPr>
      <t>im Monat</t>
    </r>
  </si>
  <si>
    <t>Kirchensteuer (0=keine)</t>
  </si>
  <si>
    <t>Geburtsdatum T.M.JJJJ</t>
  </si>
  <si>
    <t>Summe steuerfreie Bezüge</t>
  </si>
  <si>
    <t>Summe Abzüge</t>
  </si>
  <si>
    <t xml:space="preserve">ähnliches Arbeitsblatt zu finden unter: </t>
  </si>
  <si>
    <t xml:space="preserve">  rechts neben dem Betrag stehen Feld die entsprechende Lohnform dafür angegeben werden.</t>
  </si>
  <si>
    <t>Konto:</t>
  </si>
  <si>
    <t>BLZ:</t>
  </si>
  <si>
    <t>Bank:</t>
  </si>
  <si>
    <t>LST 2011</t>
  </si>
  <si>
    <t>ALTER1</t>
  </si>
  <si>
    <t>ZKF</t>
  </si>
  <si>
    <t>LZZ</t>
  </si>
  <si>
    <t>KRV</t>
  </si>
  <si>
    <t>ZRE4J</t>
  </si>
  <si>
    <t>STKL</t>
  </si>
  <si>
    <t>JLFREIB</t>
  </si>
  <si>
    <t>JLHINZU</t>
  </si>
  <si>
    <t>RV-BEMES</t>
  </si>
  <si>
    <t>PKV</t>
  </si>
  <si>
    <t>PV%</t>
  </si>
  <si>
    <t>FAKTOR F</t>
  </si>
  <si>
    <t>MRE4ALTE</t>
  </si>
  <si>
    <t>TAB4</t>
  </si>
  <si>
    <t>TAB5</t>
  </si>
  <si>
    <t>ALTEANTEIL</t>
  </si>
  <si>
    <t>ALTE</t>
  </si>
  <si>
    <t>ZRE4</t>
  </si>
  <si>
    <t>ZRE4VP</t>
  </si>
  <si>
    <t>MRE4</t>
  </si>
  <si>
    <t>MZTABFB</t>
  </si>
  <si>
    <t>KZTAB</t>
  </si>
  <si>
    <t>ANP</t>
  </si>
  <si>
    <t>EFA</t>
  </si>
  <si>
    <t>SAP</t>
  </si>
  <si>
    <t>KFB</t>
  </si>
  <si>
    <t>ZTABFB</t>
  </si>
  <si>
    <t>UPEVP</t>
  </si>
  <si>
    <t>VSP1</t>
  </si>
  <si>
    <t>VHB</t>
  </si>
  <si>
    <t>VSP2</t>
  </si>
  <si>
    <t>7,9%+PV</t>
  </si>
  <si>
    <t>KV</t>
  </si>
  <si>
    <t>KV&gt;VHB?</t>
  </si>
  <si>
    <t>VSPN</t>
  </si>
  <si>
    <t>UMVSP</t>
  </si>
  <si>
    <t>ZVE</t>
  </si>
  <si>
    <t>ZZX</t>
  </si>
  <si>
    <t>UPTAB07</t>
  </si>
  <si>
    <t>ST</t>
  </si>
  <si>
    <t>MST5-6</t>
  </si>
  <si>
    <t>X</t>
  </si>
  <si>
    <t>ST1</t>
  </si>
  <si>
    <t>ST2</t>
  </si>
  <si>
    <t>DIFF</t>
  </si>
  <si>
    <t>MIST</t>
  </si>
  <si>
    <t>VERGL</t>
  </si>
  <si>
    <t>MIT REICHST</t>
  </si>
  <si>
    <t>LSTJAHR</t>
  </si>
  <si>
    <t>JW</t>
  </si>
  <si>
    <t>MLSTJAHR</t>
  </si>
  <si>
    <t>LSTLZZ</t>
  </si>
  <si>
    <t>ZVE, X</t>
  </si>
  <si>
    <t>JBMG</t>
  </si>
  <si>
    <t>MSOLZ</t>
  </si>
  <si>
    <t>SOLZFREI</t>
  </si>
  <si>
    <t>SOLZJ</t>
  </si>
  <si>
    <t>SOLZMIN</t>
  </si>
  <si>
    <t>SOLZ</t>
  </si>
  <si>
    <t>ANTEIL1</t>
  </si>
  <si>
    <t>BK</t>
  </si>
  <si>
    <t>laufende Zahlungen</t>
  </si>
  <si>
    <t>Einmaliger geltw. Vorteil</t>
  </si>
  <si>
    <t>laufender geltw. Vorteil</t>
  </si>
  <si>
    <t>Sozialversicherung</t>
  </si>
  <si>
    <t>RV-Bemes</t>
  </si>
  <si>
    <t>RV-AN</t>
  </si>
  <si>
    <t>AV-AN</t>
  </si>
  <si>
    <t>KV-AN</t>
  </si>
  <si>
    <t>PV-AN</t>
  </si>
  <si>
    <t>RV-AG</t>
  </si>
  <si>
    <t>AV-AG</t>
  </si>
  <si>
    <t>KV-AG</t>
  </si>
  <si>
    <t>SozV Gleitzone</t>
  </si>
  <si>
    <t>sozV Entgelt</t>
  </si>
  <si>
    <t>Übertragswerte</t>
  </si>
  <si>
    <t>KIST</t>
  </si>
  <si>
    <t>E+EvG</t>
  </si>
  <si>
    <t>L+LvG</t>
  </si>
  <si>
    <t>Jahreslohn + abger. EinmZ</t>
  </si>
  <si>
    <t>Jahreslohn+alle EinmalZ</t>
  </si>
  <si>
    <t>Umlagen</t>
  </si>
  <si>
    <t>U1</t>
  </si>
  <si>
    <t>U2</t>
  </si>
  <si>
    <t>Insolvenz</t>
  </si>
  <si>
    <t>Umlagen Gleitzone</t>
  </si>
  <si>
    <t>Gleitzonenberechnung (400-800 €) nein=0 ja=1</t>
  </si>
  <si>
    <t>- mit Rentenanwartschaft nein=0 ja=1</t>
  </si>
  <si>
    <t>Summe</t>
  </si>
  <si>
    <t>LgV</t>
  </si>
  <si>
    <t xml:space="preserve">- Das Gehalt wird aus Stunden x Stundenlohn errechnet (D16*E16). Wenn Gehalt direkt eingegeben wird, muss diese </t>
  </si>
  <si>
    <t xml:space="preserve">  Zellfunktion gegebenfalls wieder in die Zelle G16 eingetragen werden, wenn man die Stunde x Stundenlohn-Berechnung </t>
  </si>
  <si>
    <t xml:space="preserve">  wieder nutzen möchte. </t>
  </si>
  <si>
    <t>- Da bei der Lohnsteuerberechnung zwischen laufenden und Einmalzahlungen unterschieden wird und die geltwerten</t>
  </si>
  <si>
    <r>
      <t xml:space="preserve">- Berechnung in der Gleitzone: </t>
    </r>
    <r>
      <rPr>
        <sz val="10"/>
        <rFont val="Arial"/>
        <family val="2"/>
      </rPr>
      <t>Wenn Gleitzonenberechnung = ja und der Bruttolohn unter 800,01 € liegt, wird entsprechend</t>
    </r>
  </si>
  <si>
    <t xml:space="preserve">  den Regeln im Gleitzonenbereich gerechnet. Es werden auch Einmalzahlungen berücksicht, wenn der Gesamtmonatslohn</t>
  </si>
  <si>
    <t xml:space="preserve">  dann noch unter 800,01 € liegt (schon abgerechnete Einmalzahlungen müssen im Lohnkonto stehen!)</t>
  </si>
  <si>
    <r>
      <t xml:space="preserve">  gelöscht werden! </t>
    </r>
    <r>
      <rPr>
        <sz val="10"/>
        <rFont val="Arial"/>
        <family val="2"/>
      </rPr>
      <t xml:space="preserve">Die Zellen G17 bis G25 (und I17 bis I25) werden abgefragt (dürfen leer sein). So kann man </t>
    </r>
  </si>
  <si>
    <t xml:space="preserve">  Hier wird nur die Zelle G52 (enhält Summenformel, gegebenfalls anpassen) abgefragt.</t>
  </si>
  <si>
    <r>
      <t xml:space="preserve">- Im Bereich </t>
    </r>
    <r>
      <rPr>
        <b/>
        <sz val="10"/>
        <rFont val="Arial"/>
        <family val="2"/>
      </rPr>
      <t>steuerfreie Bezüge</t>
    </r>
    <r>
      <rPr>
        <sz val="10"/>
        <rFont val="Arial"/>
        <family val="2"/>
      </rPr>
      <t xml:space="preserve"> ist die </t>
    </r>
    <r>
      <rPr>
        <b/>
        <sz val="10"/>
        <rFont val="Arial"/>
        <family val="2"/>
      </rPr>
      <t>Zeile 47 für den</t>
    </r>
    <r>
      <rPr>
        <sz val="10"/>
        <rFont val="Arial"/>
        <family val="2"/>
      </rPr>
      <t xml:space="preserve"> Arbeitgeberzuschuss zur privaten KV vorgesehen. </t>
    </r>
  </si>
  <si>
    <t xml:space="preserve">- Mit den Zellfunktionen werden die errechneten Steuern und Sozialversicherungsbeiträge sowie einige andere Werte aus der </t>
  </si>
  <si>
    <t xml:space="preserve">  Gehaltsabrechnung  in die jeweiligen Spalte des Monats, den man ausgewählt hat, eingetragen</t>
  </si>
  <si>
    <t xml:space="preserve">  Die jeweiligen Monatswerte werden solange überschrieben, solange man bei einem ausgewählten Monat Änderungen eingibt.</t>
  </si>
  <si>
    <r>
      <t xml:space="preserve">  </t>
    </r>
    <r>
      <rPr>
        <sz val="10"/>
        <color indexed="10"/>
        <rFont val="Arial"/>
        <family val="2"/>
      </rPr>
      <t>Wichtig: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deshalb zunächst Monat wählen un dann Werte eingeben!</t>
    </r>
  </si>
  <si>
    <t xml:space="preserve">  Programm aus der Zelle C9 des Lohnkonto-Blatts (abz. aktuelle Einmalzahlung). Sie müssen also dort stehen!</t>
  </si>
  <si>
    <t xml:space="preserve">  (Gehaltsabrechnung!C2)</t>
  </si>
  <si>
    <t xml:space="preserve">- Zum Löschen der Zellwerte Gehalt und alle Zahlungen auf Null setzen und dann die einzelnen Monate nacheinander aufrufen </t>
  </si>
  <si>
    <r>
      <rPr>
        <sz val="8"/>
        <color indexed="10"/>
        <rFont val="Arial"/>
        <family val="2"/>
      </rPr>
      <t>Achtung!</t>
    </r>
    <r>
      <rPr>
        <sz val="8"/>
        <rFont val="Arial"/>
        <family val="2"/>
      </rPr>
      <t xml:space="preserve"> Alle Zellen enthalten Summenformel. Zum Löschen Gehalt und alle Zahlungen auf 0 setzen und dann die zu löschende Monate (Gehaltsabrechnung!C2) nacheinander aufrufen!</t>
    </r>
  </si>
  <si>
    <t>Altersfreibetrag</t>
  </si>
  <si>
    <r>
      <t>Immer erst Monat auswählen, dann Werte eingeben!</t>
    </r>
    <r>
      <rPr>
        <sz val="10"/>
        <color indexed="8"/>
        <rFont val="Arial"/>
        <family val="2"/>
      </rPr>
      <t xml:space="preserve"> (Lohnkonto wird überschrieben)</t>
    </r>
  </si>
  <si>
    <t xml:space="preserve"> </t>
  </si>
  <si>
    <t>rentenversicherungspflichtig  nein=0 ja=1</t>
  </si>
  <si>
    <t>arbeitslosenversicherungspflichtig nein=0 ja=1</t>
  </si>
  <si>
    <t>Arbeitgeberzuschuss private  KV</t>
  </si>
  <si>
    <t>PV-AG</t>
  </si>
  <si>
    <t>8,2% Krankenkassenbeitrag</t>
  </si>
  <si>
    <t xml:space="preserve">Betrag wird überwiesen auf: </t>
  </si>
  <si>
    <t>LSTLZZ SUM</t>
  </si>
  <si>
    <t>SOLZEINMAL</t>
  </si>
  <si>
    <t>BKEINMAL</t>
  </si>
  <si>
    <t>KIST SUM</t>
  </si>
  <si>
    <t>SOLZ SUM</t>
  </si>
  <si>
    <t>Einmalbezüge in Bruttolohn</t>
  </si>
  <si>
    <t>Programm Formular Gehaltsabrechnung in EXCEL mit Zellfunktionen</t>
  </si>
  <si>
    <t>Monat in Zahl umwandeln</t>
  </si>
  <si>
    <t xml:space="preserve">Monat </t>
  </si>
  <si>
    <t>Geb. Monat</t>
  </si>
  <si>
    <t>AN geb. 1947</t>
  </si>
  <si>
    <t xml:space="preserve">ab Monat </t>
  </si>
  <si>
    <t>nach GebMo</t>
  </si>
  <si>
    <t>RV- &amp; AV-frei</t>
  </si>
  <si>
    <t xml:space="preserve">- Die schon abgerechneten Einmalzahlungen übernimmt das Programm aus der Zelle C9 des Lohnkonto-Blatts. </t>
  </si>
  <si>
    <r>
      <t xml:space="preserve">Bruttoarbeitsentgelt </t>
    </r>
    <r>
      <rPr>
        <sz val="9"/>
        <rFont val="Arial"/>
        <family val="2"/>
      </rPr>
      <t>(ohne geldwerte Vorteile)</t>
    </r>
  </si>
  <si>
    <t>Umlage 2</t>
  </si>
  <si>
    <t>&lt; =D16*E16</t>
  </si>
  <si>
    <t xml:space="preserve">Version 5.1.2012         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</si>
</sst>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"/>
    <numFmt numFmtId="173" formatCode="dd/mm"/>
    <numFmt numFmtId="174" formatCode="0.000"/>
    <numFmt numFmtId="175" formatCode="ddd"/>
    <numFmt numFmtId="176" formatCode="yyyy"/>
    <numFmt numFmtId="177" formatCode="[hh]:mm"/>
    <numFmt numFmtId="178" formatCode="_-* #,##0.00\ [$€-1]_-;\-* #,##0.00\ [$€-1]_-;_-* &quot;-&quot;??\ [$€-1]_-"/>
    <numFmt numFmtId="179" formatCode="d/m/yyyy"/>
    <numFmt numFmtId="180" formatCode="h:mm"/>
    <numFmt numFmtId="181" formatCode="#,##0.00\ &quot;€&quot;"/>
    <numFmt numFmtId="182" formatCode="ddd\ \ \ dd/mmm"/>
    <numFmt numFmtId="183" formatCode="dd\ ddd"/>
    <numFmt numFmtId="184" formatCode="d/m"/>
    <numFmt numFmtId="185" formatCode="d/\ mmm/\ yyyy"/>
    <numFmt numFmtId="186" formatCode="0.0"/>
    <numFmt numFmtId="187" formatCode="#,##0_ ;\-#,##0\ "/>
    <numFmt numFmtId="188" formatCode="#,##0.00\ _€"/>
    <numFmt numFmtId="189" formatCode="#,##0.00\ [$€-1];\-#,##0.00\ [$€-1]"/>
    <numFmt numFmtId="190" formatCode="[h]:mm"/>
    <numFmt numFmtId="191" formatCode="#,##0.00_ ;\-#,##0.00\ "/>
    <numFmt numFmtId="192" formatCode="#,##0.000_ ;\-#,##0.000\ "/>
    <numFmt numFmtId="193" formatCode="[$-407]dddd\,\ d\.\ mmmm\ yyyy"/>
    <numFmt numFmtId="194" formatCode="0_ ;\-0\ "/>
    <numFmt numFmtId="195" formatCode="0.00_ ;\-0.00\ "/>
    <numFmt numFmtId="196" formatCode="0.00000_ ;\-0.00000\ "/>
    <numFmt numFmtId="197" formatCode="0.00000"/>
    <numFmt numFmtId="198" formatCode="_-* #,##0.00\ [$€-1]_-;\-* #,##0.00\ [$€-1]_-;_-* &quot;-&quot;??\ [$€-1]_-;_-@_-"/>
    <numFmt numFmtId="199" formatCode="#,##0\ &quot;€&quot;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16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Tahoma"/>
      <family val="2"/>
    </font>
    <font>
      <b/>
      <sz val="8"/>
      <color indexed="10"/>
      <name val="Arial Narrow"/>
      <family val="2"/>
    </font>
    <font>
      <sz val="10"/>
      <color indexed="60"/>
      <name val="Arial"/>
      <family val="2"/>
    </font>
    <font>
      <sz val="10"/>
      <color indexed="41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9"/>
      <color indexed="48"/>
      <name val="Arial"/>
      <family val="2"/>
    </font>
    <font>
      <sz val="6"/>
      <name val="Arial"/>
      <family val="2"/>
    </font>
    <font>
      <sz val="7"/>
      <color indexed="62"/>
      <name val="Arial"/>
      <family val="2"/>
    </font>
    <font>
      <sz val="8"/>
      <color indexed="62"/>
      <name val="Arial"/>
      <family val="2"/>
    </font>
    <font>
      <sz val="10"/>
      <name val="Courier New"/>
      <family val="3"/>
    </font>
    <font>
      <u val="single"/>
      <sz val="9"/>
      <color indexed="12"/>
      <name val="Arial"/>
      <family val="2"/>
    </font>
    <font>
      <b/>
      <sz val="1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6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5" fillId="32" borderId="9">
      <alignment horizontal="center" vertical="center" wrapText="1"/>
      <protection hidden="1"/>
    </xf>
    <xf numFmtId="0" fontId="69" fillId="33" borderId="10" applyNumberFormat="0" applyAlignment="0" applyProtection="0"/>
  </cellStyleXfs>
  <cellXfs count="341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179" fontId="0" fillId="34" borderId="0" xfId="0" applyNumberFormat="1" applyFill="1" applyAlignment="1">
      <alignment/>
    </xf>
    <xf numFmtId="0" fontId="0" fillId="34" borderId="0" xfId="0" applyFill="1" applyAlignment="1">
      <alignment horizontal="left" vertical="top"/>
    </xf>
    <xf numFmtId="179" fontId="10" fillId="34" borderId="0" xfId="0" applyNumberFormat="1" applyFont="1" applyFill="1" applyAlignment="1">
      <alignment horizontal="right"/>
    </xf>
    <xf numFmtId="0" fontId="10" fillId="34" borderId="0" xfId="0" applyFont="1" applyFill="1" applyAlignment="1">
      <alignment horizontal="right"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13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 horizontal="right"/>
    </xf>
    <xf numFmtId="0" fontId="0" fillId="36" borderId="0" xfId="0" applyFill="1" applyAlignment="1">
      <alignment horizontal="left" vertical="top"/>
    </xf>
    <xf numFmtId="0" fontId="13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10" fillId="36" borderId="0" xfId="0" applyFont="1" applyFill="1" applyAlignment="1">
      <alignment horizontal="left"/>
    </xf>
    <xf numFmtId="0" fontId="13" fillId="36" borderId="0" xfId="0" applyFont="1" applyFill="1" applyAlignment="1" applyProtection="1">
      <alignment/>
      <protection/>
    </xf>
    <xf numFmtId="0" fontId="0" fillId="36" borderId="0" xfId="0" applyFill="1" applyBorder="1" applyAlignment="1">
      <alignment/>
    </xf>
    <xf numFmtId="14" fontId="17" fillId="36" borderId="0" xfId="0" applyNumberFormat="1" applyFont="1" applyFill="1" applyBorder="1" applyAlignment="1">
      <alignment horizontal="center"/>
    </xf>
    <xf numFmtId="0" fontId="17" fillId="36" borderId="0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17" fillId="36" borderId="0" xfId="0" applyFont="1" applyFill="1" applyBorder="1" applyAlignment="1" applyProtection="1">
      <alignment/>
      <protection/>
    </xf>
    <xf numFmtId="179" fontId="0" fillId="36" borderId="0" xfId="0" applyNumberFormat="1" applyFill="1" applyAlignment="1">
      <alignment/>
    </xf>
    <xf numFmtId="0" fontId="3" fillId="36" borderId="0" xfId="49" applyFill="1" applyBorder="1" applyAlignment="1" applyProtection="1">
      <alignment horizontal="center"/>
      <protection/>
    </xf>
    <xf numFmtId="0" fontId="1" fillId="36" borderId="0" xfId="0" applyFont="1" applyFill="1" applyBorder="1" applyAlignment="1">
      <alignment/>
    </xf>
    <xf numFmtId="179" fontId="17" fillId="36" borderId="0" xfId="0" applyNumberFormat="1" applyFont="1" applyFill="1" applyBorder="1" applyAlignment="1" applyProtection="1">
      <alignment horizontal="right"/>
      <protection/>
    </xf>
    <xf numFmtId="179" fontId="0" fillId="36" borderId="0" xfId="0" applyNumberFormat="1" applyFill="1" applyAlignment="1">
      <alignment horizontal="right"/>
    </xf>
    <xf numFmtId="0" fontId="1" fillId="36" borderId="0" xfId="0" applyFont="1" applyFill="1" applyAlignment="1">
      <alignment/>
    </xf>
    <xf numFmtId="176" fontId="11" fillId="36" borderId="0" xfId="0" applyNumberFormat="1" applyFont="1" applyFill="1" applyAlignment="1">
      <alignment/>
    </xf>
    <xf numFmtId="179" fontId="10" fillId="36" borderId="0" xfId="0" applyNumberFormat="1" applyFont="1" applyFill="1" applyAlignment="1">
      <alignment horizontal="right"/>
    </xf>
    <xf numFmtId="0" fontId="11" fillId="36" borderId="0" xfId="0" applyFont="1" applyFill="1" applyAlignment="1">
      <alignment/>
    </xf>
    <xf numFmtId="179" fontId="18" fillId="36" borderId="0" xfId="0" applyNumberFormat="1" applyFont="1" applyFill="1" applyAlignment="1" applyProtection="1">
      <alignment horizontal="right"/>
      <protection/>
    </xf>
    <xf numFmtId="179" fontId="18" fillId="36" borderId="0" xfId="0" applyNumberFormat="1" applyFont="1" applyFill="1" applyAlignment="1">
      <alignment horizontal="right"/>
    </xf>
    <xf numFmtId="0" fontId="18" fillId="36" borderId="0" xfId="0" applyFont="1" applyFill="1" applyBorder="1" applyAlignment="1">
      <alignment/>
    </xf>
    <xf numFmtId="0" fontId="18" fillId="36" borderId="0" xfId="0" applyFont="1" applyFill="1" applyAlignment="1" applyProtection="1">
      <alignment horizontal="right"/>
      <protection/>
    </xf>
    <xf numFmtId="0" fontId="0" fillId="35" borderId="0" xfId="0" applyFill="1" applyBorder="1" applyAlignment="1" applyProtection="1">
      <alignment horizontal="right"/>
      <protection locked="0"/>
    </xf>
    <xf numFmtId="0" fontId="23" fillId="36" borderId="0" xfId="0" applyFont="1" applyFill="1" applyAlignment="1">
      <alignment horizontal="left"/>
    </xf>
    <xf numFmtId="0" fontId="5" fillId="36" borderId="0" xfId="0" applyFont="1" applyFill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12" xfId="0" applyNumberFormat="1" applyBorder="1" applyAlignment="1">
      <alignment/>
    </xf>
    <xf numFmtId="174" fontId="6" fillId="0" borderId="12" xfId="0" applyNumberFormat="1" applyFont="1" applyBorder="1" applyAlignment="1">
      <alignment/>
    </xf>
    <xf numFmtId="0" fontId="0" fillId="37" borderId="9" xfId="0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38" borderId="9" xfId="0" applyFill="1" applyBorder="1" applyAlignment="1">
      <alignment/>
    </xf>
    <xf numFmtId="0" fontId="12" fillId="39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37" borderId="9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37" borderId="0" xfId="0" applyFill="1" applyAlignment="1">
      <alignment horizontal="left" vertical="top"/>
    </xf>
    <xf numFmtId="0" fontId="1" fillId="37" borderId="0" xfId="0" applyFont="1" applyFill="1" applyAlignment="1">
      <alignment horizontal="left" vertical="top"/>
    </xf>
    <xf numFmtId="0" fontId="0" fillId="37" borderId="0" xfId="0" applyFill="1" applyAlignment="1" quotePrefix="1">
      <alignment horizontal="left" vertical="top"/>
    </xf>
    <xf numFmtId="0" fontId="5" fillId="37" borderId="0" xfId="0" applyFont="1" applyFill="1" applyAlignment="1">
      <alignment/>
    </xf>
    <xf numFmtId="0" fontId="24" fillId="0" borderId="0" xfId="0" applyFont="1" applyAlignment="1">
      <alignment/>
    </xf>
    <xf numFmtId="14" fontId="25" fillId="37" borderId="0" xfId="0" applyNumberFormat="1" applyFont="1" applyFill="1" applyAlignment="1">
      <alignment horizontal="center"/>
    </xf>
    <xf numFmtId="0" fontId="26" fillId="37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0" fillId="36" borderId="0" xfId="0" applyFill="1" applyAlignment="1">
      <alignment horizontal="center" vertical="top"/>
    </xf>
    <xf numFmtId="0" fontId="9" fillId="36" borderId="0" xfId="0" applyFont="1" applyFill="1" applyBorder="1" applyAlignment="1">
      <alignment horizontal="right"/>
    </xf>
    <xf numFmtId="181" fontId="31" fillId="38" borderId="9" xfId="0" applyNumberFormat="1" applyFont="1" applyFill="1" applyBorder="1" applyAlignment="1" applyProtection="1">
      <alignment horizontal="center"/>
      <protection/>
    </xf>
    <xf numFmtId="0" fontId="20" fillId="35" borderId="0" xfId="0" applyFont="1" applyFill="1" applyAlignment="1" applyProtection="1">
      <alignment horizontal="centerContinuous"/>
      <protection/>
    </xf>
    <xf numFmtId="170" fontId="20" fillId="35" borderId="0" xfId="60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/>
      <protection/>
    </xf>
    <xf numFmtId="0" fontId="29" fillId="35" borderId="0" xfId="0" applyFont="1" applyFill="1" applyAlignment="1" applyProtection="1">
      <alignment/>
      <protection/>
    </xf>
    <xf numFmtId="14" fontId="9" fillId="35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170" fontId="0" fillId="35" borderId="0" xfId="60" applyFont="1" applyFill="1" applyAlignment="1" applyProtection="1">
      <alignment/>
      <protection/>
    </xf>
    <xf numFmtId="0" fontId="0" fillId="35" borderId="0" xfId="0" applyFill="1" applyAlignment="1" quotePrefix="1">
      <alignment/>
    </xf>
    <xf numFmtId="0" fontId="0" fillId="35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 quotePrefix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left"/>
      <protection locked="0"/>
    </xf>
    <xf numFmtId="179" fontId="0" fillId="35" borderId="0" xfId="60" applyNumberFormat="1" applyFont="1" applyFill="1" applyAlignment="1" applyProtection="1">
      <alignment/>
      <protection/>
    </xf>
    <xf numFmtId="0" fontId="0" fillId="35" borderId="0" xfId="0" applyFont="1" applyFill="1" applyAlignment="1" applyProtection="1" quotePrefix="1">
      <alignment horizontal="right"/>
      <protection/>
    </xf>
    <xf numFmtId="0" fontId="1" fillId="35" borderId="0" xfId="0" applyFont="1" applyFill="1" applyAlignment="1" applyProtection="1" quotePrefix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 applyProtection="1">
      <alignment horizontal="right"/>
      <protection/>
    </xf>
    <xf numFmtId="0" fontId="0" fillId="35" borderId="0" xfId="0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/>
      <protection/>
    </xf>
    <xf numFmtId="178" fontId="0" fillId="35" borderId="0" xfId="47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Continuous"/>
      <protection locked="0"/>
    </xf>
    <xf numFmtId="186" fontId="0" fillId="35" borderId="0" xfId="0" applyNumberFormat="1" applyFont="1" applyFill="1" applyBorder="1" applyAlignment="1">
      <alignment/>
    </xf>
    <xf numFmtId="10" fontId="0" fillId="35" borderId="0" xfId="0" applyNumberFormat="1" applyFont="1" applyFill="1" applyBorder="1" applyAlignment="1" applyProtection="1">
      <alignment horizontal="left"/>
      <protection/>
    </xf>
    <xf numFmtId="0" fontId="9" fillId="35" borderId="11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78" fontId="31" fillId="35" borderId="0" xfId="47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>
      <alignment/>
    </xf>
    <xf numFmtId="0" fontId="18" fillId="35" borderId="0" xfId="0" applyFont="1" applyFill="1" applyAlignment="1" applyProtection="1">
      <alignment/>
      <protection/>
    </xf>
    <xf numFmtId="0" fontId="18" fillId="35" borderId="0" xfId="0" applyFont="1" applyFill="1" applyAlignment="1" applyProtection="1">
      <alignment horizontal="center"/>
      <protection/>
    </xf>
    <xf numFmtId="181" fontId="31" fillId="35" borderId="0" xfId="0" applyNumberFormat="1" applyFont="1" applyFill="1" applyBorder="1" applyAlignment="1" applyProtection="1">
      <alignment horizontal="center"/>
      <protection/>
    </xf>
    <xf numFmtId="0" fontId="28" fillId="36" borderId="0" xfId="49" applyFont="1" applyFill="1" applyAlignment="1" applyProtection="1">
      <alignment horizontal="right" vertical="center"/>
      <protection/>
    </xf>
    <xf numFmtId="14" fontId="25" fillId="37" borderId="0" xfId="0" applyNumberFormat="1" applyFont="1" applyFill="1" applyAlignment="1">
      <alignment/>
    </xf>
    <xf numFmtId="186" fontId="31" fillId="38" borderId="9" xfId="0" applyNumberFormat="1" applyFont="1" applyFill="1" applyBorder="1" applyAlignment="1" applyProtection="1">
      <alignment horizontal="center"/>
      <protection/>
    </xf>
    <xf numFmtId="181" fontId="31" fillId="38" borderId="13" xfId="0" applyNumberFormat="1" applyFont="1" applyFill="1" applyBorder="1" applyAlignment="1" applyProtection="1">
      <alignment horizontal="center"/>
      <protection/>
    </xf>
    <xf numFmtId="186" fontId="31" fillId="38" borderId="13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vertical="top"/>
      <protection/>
    </xf>
    <xf numFmtId="0" fontId="18" fillId="35" borderId="0" xfId="0" applyFont="1" applyFill="1" applyAlignment="1" applyProtection="1">
      <alignment horizontal="right"/>
      <protection/>
    </xf>
    <xf numFmtId="178" fontId="30" fillId="35" borderId="0" xfId="47" applyFont="1" applyFill="1" applyBorder="1" applyAlignment="1" applyProtection="1">
      <alignment/>
      <protection/>
    </xf>
    <xf numFmtId="0" fontId="0" fillId="37" borderId="0" xfId="0" applyFont="1" applyFill="1" applyAlignment="1">
      <alignment horizontal="left" vertical="top"/>
    </xf>
    <xf numFmtId="0" fontId="0" fillId="37" borderId="0" xfId="0" applyFont="1" applyFill="1" applyAlignment="1" quotePrefix="1">
      <alignment horizontal="left" vertical="top"/>
    </xf>
    <xf numFmtId="0" fontId="1" fillId="38" borderId="0" xfId="0" applyFont="1" applyFill="1" applyAlignment="1">
      <alignment horizontal="left" vertical="top"/>
    </xf>
    <xf numFmtId="0" fontId="9" fillId="36" borderId="0" xfId="0" applyFont="1" applyFill="1" applyAlignment="1">
      <alignment horizontal="right"/>
    </xf>
    <xf numFmtId="0" fontId="3" fillId="36" borderId="0" xfId="49" applyFill="1" applyAlignment="1" applyProtection="1">
      <alignment horizontal="center" vertical="top"/>
      <protection/>
    </xf>
    <xf numFmtId="0" fontId="0" fillId="36" borderId="0" xfId="0" applyFill="1" applyAlignment="1">
      <alignment horizontal="center"/>
    </xf>
    <xf numFmtId="0" fontId="23" fillId="35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right"/>
    </xf>
    <xf numFmtId="0" fontId="0" fillId="35" borderId="0" xfId="0" applyFill="1" applyAlignment="1">
      <alignment horizontal="left" vertical="top"/>
    </xf>
    <xf numFmtId="0" fontId="0" fillId="35" borderId="0" xfId="0" applyFont="1" applyFill="1" applyBorder="1" applyAlignment="1">
      <alignment horizontal="right"/>
    </xf>
    <xf numFmtId="0" fontId="7" fillId="35" borderId="0" xfId="0" applyFont="1" applyFill="1" applyAlignment="1">
      <alignment/>
    </xf>
    <xf numFmtId="0" fontId="1" fillId="35" borderId="0" xfId="0" applyFont="1" applyFill="1" applyAlignment="1">
      <alignment horizontal="center" vertical="top"/>
    </xf>
    <xf numFmtId="0" fontId="0" fillId="35" borderId="0" xfId="0" applyFill="1" applyAlignment="1">
      <alignment horizontal="center"/>
    </xf>
    <xf numFmtId="0" fontId="9" fillId="35" borderId="0" xfId="0" applyFont="1" applyFill="1" applyBorder="1" applyAlignment="1">
      <alignment horizontal="right"/>
    </xf>
    <xf numFmtId="0" fontId="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 horizontal="right"/>
      <protection locked="0"/>
    </xf>
    <xf numFmtId="181" fontId="0" fillId="35" borderId="0" xfId="0" applyNumberFormat="1" applyFill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178" fontId="30" fillId="35" borderId="0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78" fontId="31" fillId="35" borderId="0" xfId="47" applyFont="1" applyFill="1" applyBorder="1" applyAlignment="1" applyProtection="1">
      <alignment/>
      <protection locked="0"/>
    </xf>
    <xf numFmtId="178" fontId="0" fillId="35" borderId="0" xfId="0" applyNumberFormat="1" applyFill="1" applyBorder="1" applyAlignment="1">
      <alignment/>
    </xf>
    <xf numFmtId="0" fontId="9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9" fillId="35" borderId="15" xfId="0" applyFont="1" applyFill="1" applyBorder="1" applyAlignment="1">
      <alignment/>
    </xf>
    <xf numFmtId="0" fontId="18" fillId="35" borderId="0" xfId="0" applyFont="1" applyFill="1" applyBorder="1" applyAlignment="1" applyProtection="1">
      <alignment horizontal="right"/>
      <protection/>
    </xf>
    <xf numFmtId="0" fontId="18" fillId="35" borderId="0" xfId="0" applyFont="1" applyFill="1" applyBorder="1" applyAlignment="1" applyProtection="1">
      <alignment/>
      <protection locked="0"/>
    </xf>
    <xf numFmtId="0" fontId="18" fillId="35" borderId="0" xfId="0" applyFont="1" applyFill="1" applyBorder="1" applyAlignment="1" applyProtection="1">
      <alignment/>
      <protection/>
    </xf>
    <xf numFmtId="0" fontId="18" fillId="35" borderId="9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/>
      <protection/>
    </xf>
    <xf numFmtId="0" fontId="9" fillId="35" borderId="17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186" fontId="18" fillId="35" borderId="0" xfId="0" applyNumberFormat="1" applyFont="1" applyFill="1" applyBorder="1" applyAlignment="1">
      <alignment/>
    </xf>
    <xf numFmtId="10" fontId="18" fillId="35" borderId="0" xfId="0" applyNumberFormat="1" applyFont="1" applyFill="1" applyBorder="1" applyAlignment="1" applyProtection="1">
      <alignment horizontal="left"/>
      <protection/>
    </xf>
    <xf numFmtId="0" fontId="18" fillId="35" borderId="0" xfId="0" applyFont="1" applyFill="1" applyBorder="1" applyAlignment="1" applyProtection="1">
      <alignment horizontal="center"/>
      <protection/>
    </xf>
    <xf numFmtId="0" fontId="18" fillId="35" borderId="0" xfId="0" applyFont="1" applyFill="1" applyAlignment="1" applyProtection="1">
      <alignment horizontal="right"/>
      <protection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7" fontId="9" fillId="35" borderId="0" xfId="0" applyNumberFormat="1" applyFont="1" applyFill="1" applyAlignment="1">
      <alignment/>
    </xf>
    <xf numFmtId="181" fontId="9" fillId="35" borderId="0" xfId="0" applyNumberFormat="1" applyFont="1" applyFill="1" applyAlignment="1">
      <alignment/>
    </xf>
    <xf numFmtId="0" fontId="0" fillId="35" borderId="0" xfId="0" applyFont="1" applyFill="1" applyAlignment="1" quotePrefix="1">
      <alignment/>
    </xf>
    <xf numFmtId="181" fontId="9" fillId="35" borderId="11" xfId="0" applyNumberFormat="1" applyFont="1" applyFill="1" applyBorder="1" applyAlignment="1">
      <alignment/>
    </xf>
    <xf numFmtId="181" fontId="9" fillId="35" borderId="0" xfId="0" applyNumberFormat="1" applyFont="1" applyFill="1" applyBorder="1" applyAlignment="1">
      <alignment horizontal="right"/>
    </xf>
    <xf numFmtId="181" fontId="9" fillId="35" borderId="19" xfId="0" applyNumberFormat="1" applyFont="1" applyFill="1" applyBorder="1" applyAlignment="1">
      <alignment horizontal="right"/>
    </xf>
    <xf numFmtId="181" fontId="9" fillId="35" borderId="11" xfId="0" applyNumberFormat="1" applyFont="1" applyFill="1" applyBorder="1" applyAlignment="1">
      <alignment horizontal="right"/>
    </xf>
    <xf numFmtId="181" fontId="9" fillId="35" borderId="20" xfId="0" applyNumberFormat="1" applyFont="1" applyFill="1" applyBorder="1" applyAlignment="1">
      <alignment horizontal="right"/>
    </xf>
    <xf numFmtId="0" fontId="9" fillId="35" borderId="11" xfId="0" applyFont="1" applyFill="1" applyBorder="1" applyAlignment="1">
      <alignment horizontal="right"/>
    </xf>
    <xf numFmtId="186" fontId="0" fillId="40" borderId="21" xfId="0" applyNumberFormat="1" applyFill="1" applyBorder="1" applyAlignment="1">
      <alignment/>
    </xf>
    <xf numFmtId="2" fontId="0" fillId="40" borderId="9" xfId="0" applyNumberFormat="1" applyFont="1" applyFill="1" applyBorder="1" applyAlignment="1">
      <alignment/>
    </xf>
    <xf numFmtId="0" fontId="0" fillId="40" borderId="0" xfId="0" applyNumberFormat="1" applyFill="1" applyBorder="1" applyAlignment="1">
      <alignment/>
    </xf>
    <xf numFmtId="0" fontId="18" fillId="38" borderId="19" xfId="0" applyFont="1" applyFill="1" applyBorder="1" applyAlignment="1" applyProtection="1">
      <alignment/>
      <protection/>
    </xf>
    <xf numFmtId="0" fontId="18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18" fillId="38" borderId="0" xfId="0" applyFont="1" applyFill="1" applyAlignment="1" applyProtection="1">
      <alignment horizontal="right"/>
      <protection/>
    </xf>
    <xf numFmtId="0" fontId="18" fillId="38" borderId="0" xfId="0" applyFont="1" applyFill="1" applyBorder="1" applyAlignment="1" applyProtection="1">
      <alignment/>
      <protection locked="0"/>
    </xf>
    <xf numFmtId="0" fontId="0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 horizontal="center"/>
      <protection/>
    </xf>
    <xf numFmtId="0" fontId="1" fillId="37" borderId="0" xfId="0" applyFont="1" applyFill="1" applyAlignment="1" quotePrefix="1">
      <alignment horizontal="left" vertical="top"/>
    </xf>
    <xf numFmtId="0" fontId="18" fillId="35" borderId="0" xfId="0" applyFont="1" applyFill="1" applyBorder="1" applyAlignment="1" applyProtection="1">
      <alignment horizontal="left"/>
      <protection/>
    </xf>
    <xf numFmtId="181" fontId="9" fillId="36" borderId="0" xfId="0" applyNumberFormat="1" applyFont="1" applyFill="1" applyAlignment="1" applyProtection="1">
      <alignment/>
      <protection/>
    </xf>
    <xf numFmtId="181" fontId="9" fillId="36" borderId="11" xfId="0" applyNumberFormat="1" applyFont="1" applyFill="1" applyBorder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9" fillId="36" borderId="11" xfId="0" applyFont="1" applyFill="1" applyBorder="1" applyAlignment="1" applyProtection="1">
      <alignment/>
      <protection/>
    </xf>
    <xf numFmtId="0" fontId="9" fillId="37" borderId="0" xfId="0" applyFont="1" applyFill="1" applyAlignment="1">
      <alignment/>
    </xf>
    <xf numFmtId="0" fontId="9" fillId="37" borderId="11" xfId="0" applyFont="1" applyFill="1" applyBorder="1" applyAlignment="1">
      <alignment/>
    </xf>
    <xf numFmtId="0" fontId="35" fillId="37" borderId="11" xfId="0" applyFont="1" applyFill="1" applyBorder="1" applyAlignment="1">
      <alignment/>
    </xf>
    <xf numFmtId="0" fontId="9" fillId="35" borderId="9" xfId="0" applyFont="1" applyFill="1" applyBorder="1" applyAlignment="1" applyProtection="1">
      <alignment horizontal="center"/>
      <protection/>
    </xf>
    <xf numFmtId="0" fontId="18" fillId="38" borderId="0" xfId="0" applyFont="1" applyFill="1" applyAlignment="1" applyProtection="1">
      <alignment/>
      <protection/>
    </xf>
    <xf numFmtId="0" fontId="34" fillId="38" borderId="0" xfId="0" applyFont="1" applyFill="1" applyBorder="1" applyAlignment="1" applyProtection="1">
      <alignment/>
      <protection/>
    </xf>
    <xf numFmtId="0" fontId="18" fillId="38" borderId="0" xfId="0" applyFont="1" applyFill="1" applyBorder="1" applyAlignment="1">
      <alignment/>
    </xf>
    <xf numFmtId="0" fontId="18" fillId="38" borderId="0" xfId="0" applyFont="1" applyFill="1" applyAlignment="1">
      <alignment/>
    </xf>
    <xf numFmtId="178" fontId="30" fillId="38" borderId="0" xfId="47" applyFont="1" applyFill="1" applyBorder="1" applyAlignment="1" applyProtection="1">
      <alignment/>
      <protection/>
    </xf>
    <xf numFmtId="0" fontId="0" fillId="38" borderId="0" xfId="0" applyFill="1" applyAlignment="1">
      <alignment/>
    </xf>
    <xf numFmtId="0" fontId="1" fillId="34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9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194" fontId="0" fillId="0" borderId="0" xfId="0" applyNumberFormat="1" applyFill="1" applyAlignment="1" applyProtection="1">
      <alignment horizontal="right"/>
      <protection hidden="1"/>
    </xf>
    <xf numFmtId="195" fontId="0" fillId="0" borderId="0" xfId="0" applyNumberFormat="1" applyFill="1" applyAlignment="1" applyProtection="1">
      <alignment horizontal="right"/>
      <protection hidden="1"/>
    </xf>
    <xf numFmtId="196" fontId="0" fillId="0" borderId="0" xfId="0" applyNumberFormat="1" applyFill="1" applyAlignment="1" applyProtection="1">
      <alignment horizontal="right"/>
      <protection hidden="1"/>
    </xf>
    <xf numFmtId="0" fontId="1" fillId="41" borderId="0" xfId="0" applyFont="1" applyFill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94" fontId="0" fillId="0" borderId="0" xfId="0" applyNumberForma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0" fillId="41" borderId="0" xfId="0" applyNumberFormat="1" applyFill="1" applyAlignment="1" applyProtection="1">
      <alignment/>
      <protection hidden="1"/>
    </xf>
    <xf numFmtId="197" fontId="0" fillId="0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4" fontId="0" fillId="0" borderId="0" xfId="0" applyNumberFormat="1" applyAlignment="1">
      <alignment/>
    </xf>
    <xf numFmtId="14" fontId="0" fillId="0" borderId="12" xfId="0" applyNumberFormat="1" applyBorder="1" applyAlignment="1">
      <alignment/>
    </xf>
    <xf numFmtId="194" fontId="0" fillId="0" borderId="0" xfId="0" applyNumberFormat="1" applyAlignment="1">
      <alignment/>
    </xf>
    <xf numFmtId="0" fontId="1" fillId="36" borderId="22" xfId="0" applyFont="1" applyFill="1" applyBorder="1" applyAlignment="1">
      <alignment vertical="center"/>
    </xf>
    <xf numFmtId="0" fontId="0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0" fillId="37" borderId="9" xfId="0" applyFill="1" applyBorder="1" applyAlignment="1">
      <alignment/>
    </xf>
    <xf numFmtId="178" fontId="0" fillId="37" borderId="19" xfId="0" applyNumberFormat="1" applyFill="1" applyBorder="1" applyAlignment="1">
      <alignment horizontal="center"/>
    </xf>
    <xf numFmtId="0" fontId="6" fillId="37" borderId="9" xfId="0" applyFont="1" applyFill="1" applyBorder="1" applyAlignment="1">
      <alignment/>
    </xf>
    <xf numFmtId="178" fontId="6" fillId="37" borderId="19" xfId="0" applyNumberFormat="1" applyFont="1" applyFill="1" applyBorder="1" applyAlignment="1">
      <alignment horizontal="center"/>
    </xf>
    <xf numFmtId="0" fontId="0" fillId="37" borderId="9" xfId="0" applyFont="1" applyFill="1" applyBorder="1" applyAlignment="1">
      <alignment/>
    </xf>
    <xf numFmtId="0" fontId="0" fillId="37" borderId="19" xfId="0" applyFill="1" applyBorder="1" applyAlignment="1">
      <alignment horizontal="center"/>
    </xf>
    <xf numFmtId="0" fontId="0" fillId="37" borderId="19" xfId="0" applyFill="1" applyBorder="1" applyAlignment="1">
      <alignment horizontal="left"/>
    </xf>
    <xf numFmtId="0" fontId="0" fillId="40" borderId="21" xfId="0" applyFont="1" applyFill="1" applyBorder="1" applyAlignment="1">
      <alignment/>
    </xf>
    <xf numFmtId="0" fontId="0" fillId="37" borderId="20" xfId="0" applyFill="1" applyBorder="1" applyAlignment="1">
      <alignment horizontal="center"/>
    </xf>
    <xf numFmtId="0" fontId="16" fillId="40" borderId="9" xfId="0" applyFont="1" applyFill="1" applyBorder="1" applyAlignment="1">
      <alignment/>
    </xf>
    <xf numFmtId="0" fontId="0" fillId="37" borderId="9" xfId="0" applyFill="1" applyBorder="1" applyAlignment="1">
      <alignment horizontal="left"/>
    </xf>
    <xf numFmtId="0" fontId="0" fillId="37" borderId="12" xfId="0" applyFill="1" applyBorder="1" applyAlignment="1">
      <alignment horizontal="center"/>
    </xf>
    <xf numFmtId="0" fontId="0" fillId="37" borderId="12" xfId="0" applyFont="1" applyFill="1" applyBorder="1" applyAlignment="1">
      <alignment wrapText="1"/>
    </xf>
    <xf numFmtId="0" fontId="1" fillId="41" borderId="22" xfId="0" applyFont="1" applyFill="1" applyBorder="1" applyAlignment="1">
      <alignment/>
    </xf>
    <xf numFmtId="0" fontId="0" fillId="41" borderId="23" xfId="0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1" fontId="0" fillId="0" borderId="17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1" fillId="41" borderId="17" xfId="0" applyNumberFormat="1" applyFont="1" applyFill="1" applyBorder="1" applyAlignment="1">
      <alignment/>
    </xf>
    <xf numFmtId="0" fontId="0" fillId="41" borderId="19" xfId="0" applyFill="1" applyBorder="1" applyAlignment="1">
      <alignment/>
    </xf>
    <xf numFmtId="1" fontId="0" fillId="0" borderId="17" xfId="0" applyNumberFormat="1" applyFont="1" applyBorder="1" applyAlignment="1">
      <alignment/>
    </xf>
    <xf numFmtId="0" fontId="1" fillId="41" borderId="17" xfId="0" applyFont="1" applyFill="1" applyBorder="1" applyAlignment="1">
      <alignment/>
    </xf>
    <xf numFmtId="1" fontId="0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18" xfId="0" applyBorder="1" applyAlignment="1">
      <alignment/>
    </xf>
    <xf numFmtId="0" fontId="1" fillId="36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6" fillId="42" borderId="9" xfId="0" applyFont="1" applyFill="1" applyBorder="1" applyAlignment="1">
      <alignment/>
    </xf>
    <xf numFmtId="0" fontId="36" fillId="42" borderId="21" xfId="0" applyFont="1" applyFill="1" applyBorder="1" applyAlignment="1" quotePrefix="1">
      <alignment/>
    </xf>
    <xf numFmtId="0" fontId="0" fillId="42" borderId="19" xfId="0" applyFill="1" applyBorder="1" applyAlignment="1">
      <alignment/>
    </xf>
    <xf numFmtId="0" fontId="0" fillId="42" borderId="20" xfId="0" applyFill="1" applyBorder="1" applyAlignment="1">
      <alignment/>
    </xf>
    <xf numFmtId="0" fontId="0" fillId="35" borderId="0" xfId="0" applyFont="1" applyFill="1" applyBorder="1" applyAlignment="1" applyProtection="1" quotePrefix="1">
      <alignment/>
      <protection/>
    </xf>
    <xf numFmtId="0" fontId="0" fillId="41" borderId="0" xfId="0" applyFill="1" applyAlignment="1">
      <alignment/>
    </xf>
    <xf numFmtId="0" fontId="1" fillId="41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9" fillId="41" borderId="0" xfId="0" applyFont="1" applyFill="1" applyAlignment="1">
      <alignment/>
    </xf>
    <xf numFmtId="179" fontId="31" fillId="35" borderId="0" xfId="60" applyNumberFormat="1" applyFont="1" applyFill="1" applyBorder="1" applyAlignment="1" applyProtection="1">
      <alignment horizontal="center"/>
      <protection/>
    </xf>
    <xf numFmtId="179" fontId="31" fillId="38" borderId="0" xfId="60" applyNumberFormat="1" applyFont="1" applyFill="1" applyBorder="1" applyAlignment="1" applyProtection="1">
      <alignment horizontal="center"/>
      <protection/>
    </xf>
    <xf numFmtId="44" fontId="31" fillId="38" borderId="0" xfId="0" applyNumberFormat="1" applyFont="1" applyFill="1" applyBorder="1" applyAlignment="1" applyProtection="1">
      <alignment horizontal="left"/>
      <protection locked="0"/>
    </xf>
    <xf numFmtId="1" fontId="31" fillId="38" borderId="0" xfId="60" applyNumberFormat="1" applyFont="1" applyFill="1" applyBorder="1" applyAlignment="1" applyProtection="1">
      <alignment horizontal="center"/>
      <protection/>
    </xf>
    <xf numFmtId="192" fontId="31" fillId="38" borderId="0" xfId="0" applyNumberFormat="1" applyFont="1" applyFill="1" applyBorder="1" applyAlignment="1" applyProtection="1">
      <alignment horizontal="center"/>
      <protection locked="0"/>
    </xf>
    <xf numFmtId="44" fontId="31" fillId="35" borderId="0" xfId="0" applyNumberFormat="1" applyFont="1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 quotePrefix="1">
      <alignment horizontal="center"/>
      <protection/>
    </xf>
    <xf numFmtId="178" fontId="31" fillId="38" borderId="0" xfId="47" applyFont="1" applyFill="1" applyBorder="1" applyAlignment="1" applyProtection="1">
      <alignment/>
      <protection locked="0"/>
    </xf>
    <xf numFmtId="170" fontId="31" fillId="35" borderId="0" xfId="60" applyFont="1" applyFill="1" applyBorder="1" applyAlignment="1" applyProtection="1">
      <alignment/>
      <protection/>
    </xf>
    <xf numFmtId="181" fontId="0" fillId="35" borderId="17" xfId="60" applyNumberFormat="1" applyFont="1" applyFill="1" applyBorder="1" applyAlignment="1" applyProtection="1">
      <alignment/>
      <protection locked="0"/>
    </xf>
    <xf numFmtId="181" fontId="0" fillId="35" borderId="17" xfId="0" applyNumberFormat="1" applyFill="1" applyBorder="1" applyAlignment="1" applyProtection="1">
      <alignment/>
      <protection/>
    </xf>
    <xf numFmtId="1" fontId="18" fillId="35" borderId="0" xfId="0" applyNumberFormat="1" applyFont="1" applyFill="1" applyBorder="1" applyAlignment="1" applyProtection="1">
      <alignment horizontal="left"/>
      <protection/>
    </xf>
    <xf numFmtId="199" fontId="31" fillId="35" borderId="0" xfId="60" applyNumberFormat="1" applyFont="1" applyFill="1" applyBorder="1" applyAlignment="1" applyProtection="1">
      <alignment horizontal="right"/>
      <protection/>
    </xf>
    <xf numFmtId="0" fontId="34" fillId="36" borderId="11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 horizontal="center"/>
      <protection/>
    </xf>
    <xf numFmtId="178" fontId="30" fillId="36" borderId="11" xfId="47" applyFont="1" applyFill="1" applyBorder="1" applyAlignment="1" applyProtection="1">
      <alignment/>
      <protection locked="0"/>
    </xf>
    <xf numFmtId="0" fontId="18" fillId="35" borderId="11" xfId="0" applyFont="1" applyFill="1" applyBorder="1" applyAlignment="1" applyProtection="1">
      <alignment/>
      <protection locked="0"/>
    </xf>
    <xf numFmtId="44" fontId="31" fillId="35" borderId="11" xfId="0" applyNumberFormat="1" applyFont="1" applyFill="1" applyBorder="1" applyAlignment="1" applyProtection="1">
      <alignment horizontal="left"/>
      <protection locked="0"/>
    </xf>
    <xf numFmtId="0" fontId="18" fillId="38" borderId="11" xfId="0" applyFont="1" applyFill="1" applyBorder="1" applyAlignment="1" applyProtection="1">
      <alignment horizontal="right"/>
      <protection/>
    </xf>
    <xf numFmtId="1" fontId="31" fillId="38" borderId="11" xfId="60" applyNumberFormat="1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/>
      <protection/>
    </xf>
    <xf numFmtId="0" fontId="34" fillId="36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center"/>
      <protection/>
    </xf>
    <xf numFmtId="178" fontId="30" fillId="36" borderId="0" xfId="47" applyFont="1" applyFill="1" applyBorder="1" applyAlignment="1" applyProtection="1">
      <alignment/>
      <protection locked="0"/>
    </xf>
    <xf numFmtId="0" fontId="21" fillId="36" borderId="0" xfId="0" applyFont="1" applyFill="1" applyBorder="1" applyAlignment="1" applyProtection="1">
      <alignment/>
      <protection/>
    </xf>
    <xf numFmtId="178" fontId="30" fillId="36" borderId="0" xfId="47" applyFont="1" applyFill="1" applyBorder="1" applyAlignment="1" applyProtection="1">
      <alignment/>
      <protection/>
    </xf>
    <xf numFmtId="0" fontId="18" fillId="38" borderId="0" xfId="0" applyFont="1" applyFill="1" applyBorder="1" applyAlignment="1" applyProtection="1">
      <alignment horizontal="right"/>
      <protection/>
    </xf>
    <xf numFmtId="14" fontId="30" fillId="35" borderId="0" xfId="0" applyNumberFormat="1" applyFont="1" applyFill="1" applyBorder="1" applyAlignment="1" applyProtection="1">
      <alignment horizontal="left" vertical="top"/>
      <protection locked="0"/>
    </xf>
    <xf numFmtId="0" fontId="38" fillId="0" borderId="0" xfId="0" applyFont="1" applyAlignment="1">
      <alignment horizontal="left" readingOrder="1"/>
    </xf>
    <xf numFmtId="10" fontId="31" fillId="35" borderId="0" xfId="0" applyNumberFormat="1" applyFont="1" applyFill="1" applyBorder="1" applyAlignment="1" applyProtection="1">
      <alignment horizontal="left"/>
      <protection locked="0"/>
    </xf>
    <xf numFmtId="0" fontId="31" fillId="35" borderId="0" xfId="0" applyFont="1" applyFill="1" applyBorder="1" applyAlignment="1" applyProtection="1">
      <alignment horizontal="left"/>
      <protection locked="0"/>
    </xf>
    <xf numFmtId="192" fontId="31" fillId="35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0" fontId="18" fillId="0" borderId="0" xfId="0" applyFont="1" applyAlignment="1">
      <alignment horizontal="right"/>
    </xf>
    <xf numFmtId="1" fontId="0" fillId="0" borderId="0" xfId="0" applyNumberFormat="1" applyFill="1" applyAlignment="1">
      <alignment/>
    </xf>
    <xf numFmtId="1" fontId="0" fillId="41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37" borderId="0" xfId="0" applyFont="1" applyFill="1" applyAlignment="1" quotePrefix="1">
      <alignment/>
    </xf>
    <xf numFmtId="2" fontId="0" fillId="0" borderId="0" xfId="0" applyNumberFormat="1" applyFill="1" applyAlignment="1">
      <alignment/>
    </xf>
    <xf numFmtId="0" fontId="9" fillId="36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36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35" borderId="0" xfId="0" applyFont="1" applyFill="1" applyBorder="1" applyAlignment="1" applyProtection="1">
      <alignment horizontal="center" vertical="top" wrapText="1"/>
      <protection locked="0"/>
    </xf>
    <xf numFmtId="0" fontId="0" fillId="35" borderId="0" xfId="0" applyFill="1" applyAlignment="1">
      <alignment/>
    </xf>
    <xf numFmtId="0" fontId="9" fillId="36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36" borderId="0" xfId="0" applyFont="1" applyFill="1" applyAlignment="1">
      <alignment horizontal="left"/>
    </xf>
    <xf numFmtId="0" fontId="7" fillId="43" borderId="24" xfId="0" applyFont="1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>
      <alignment horizontal="center" vertical="center" wrapText="1"/>
    </xf>
    <xf numFmtId="0" fontId="0" fillId="43" borderId="26" xfId="0" applyFill="1" applyBorder="1" applyAlignment="1">
      <alignment horizontal="center" vertical="center" wrapText="1"/>
    </xf>
    <xf numFmtId="0" fontId="0" fillId="43" borderId="27" xfId="0" applyFill="1" applyBorder="1" applyAlignment="1">
      <alignment horizontal="center" vertical="center" wrapText="1"/>
    </xf>
    <xf numFmtId="0" fontId="0" fillId="43" borderId="0" xfId="0" applyFill="1" applyBorder="1" applyAlignment="1">
      <alignment horizontal="center" vertical="center" wrapText="1"/>
    </xf>
    <xf numFmtId="0" fontId="0" fillId="43" borderId="28" xfId="0" applyFill="1" applyBorder="1" applyAlignment="1">
      <alignment horizontal="center" vertical="center" wrapText="1"/>
    </xf>
    <xf numFmtId="0" fontId="0" fillId="43" borderId="29" xfId="0" applyFill="1" applyBorder="1" applyAlignment="1">
      <alignment horizontal="center" vertical="center" wrapText="1"/>
    </xf>
    <xf numFmtId="0" fontId="0" fillId="43" borderId="30" xfId="0" applyFill="1" applyBorder="1" applyAlignment="1">
      <alignment horizontal="center" vertical="center" wrapText="1"/>
    </xf>
    <xf numFmtId="0" fontId="0" fillId="43" borderId="31" xfId="0" applyFill="1" applyBorder="1" applyAlignment="1">
      <alignment horizontal="center" vertical="center" wrapText="1"/>
    </xf>
    <xf numFmtId="0" fontId="19" fillId="3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34" fillId="35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38" borderId="11" xfId="0" applyFont="1" applyFill="1" applyBorder="1" applyAlignment="1" applyProtection="1">
      <alignment horizontal="center" vertical="top"/>
      <protection/>
    </xf>
    <xf numFmtId="0" fontId="9" fillId="38" borderId="11" xfId="0" applyFont="1" applyFill="1" applyBorder="1" applyAlignment="1">
      <alignment horizontal="center" vertical="top"/>
    </xf>
    <xf numFmtId="0" fontId="0" fillId="38" borderId="11" xfId="0" applyFill="1" applyBorder="1" applyAlignment="1">
      <alignment vertical="top"/>
    </xf>
    <xf numFmtId="0" fontId="0" fillId="35" borderId="0" xfId="0" applyFont="1" applyFill="1" applyAlignment="1">
      <alignment/>
    </xf>
    <xf numFmtId="0" fontId="3" fillId="35" borderId="0" xfId="49" applyFill="1" applyAlignment="1" applyProtection="1">
      <alignment/>
      <protection/>
    </xf>
    <xf numFmtId="0" fontId="18" fillId="38" borderId="0" xfId="0" applyFont="1" applyFill="1" applyAlignment="1">
      <alignment horizontal="right"/>
    </xf>
    <xf numFmtId="0" fontId="18" fillId="38" borderId="0" xfId="0" applyFont="1" applyFill="1" applyBorder="1" applyAlignment="1" applyProtection="1">
      <alignment horizontal="right"/>
      <protection/>
    </xf>
    <xf numFmtId="0" fontId="18" fillId="38" borderId="0" xfId="0" applyFont="1" applyFill="1" applyAlignment="1">
      <alignment/>
    </xf>
    <xf numFmtId="0" fontId="1" fillId="38" borderId="0" xfId="0" applyFont="1" applyFill="1" applyBorder="1" applyAlignment="1" applyProtection="1">
      <alignment/>
      <protection/>
    </xf>
    <xf numFmtId="0" fontId="0" fillId="38" borderId="0" xfId="0" applyFill="1" applyBorder="1" applyAlignment="1">
      <alignment/>
    </xf>
    <xf numFmtId="0" fontId="9" fillId="38" borderId="0" xfId="0" applyFont="1" applyFill="1" applyBorder="1" applyAlignment="1" applyProtection="1">
      <alignment horizontal="center"/>
      <protection/>
    </xf>
    <xf numFmtId="0" fontId="9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1" fillId="38" borderId="0" xfId="0" applyFont="1" applyFill="1" applyBorder="1" applyAlignment="1" applyProtection="1">
      <alignment horizontal="center"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wochenende" xfId="63"/>
    <cellStyle name="Zelle überprüfen" xfId="64"/>
  </cellStyles>
  <dxfs count="7">
    <dxf>
      <font>
        <color indexed="42"/>
      </font>
    </dxf>
    <dxf>
      <font>
        <color indexed="8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b/>
        <i val="0"/>
        <color auto="1"/>
      </font>
    </dxf>
    <dxf>
      <font>
        <color indexed="10"/>
      </font>
      <fill>
        <patternFill>
          <bgColor indexed="13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6E6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EAFF"/>
      <rgbColor rgb="00CCFFCC"/>
      <rgbColor rgb="00FFFF99"/>
      <rgbColor rgb="00CCECFF"/>
      <rgbColor rgb="00FEB0B0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FAFA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27</xdr:row>
      <xdr:rowOff>9525</xdr:rowOff>
    </xdr:from>
    <xdr:to>
      <xdr:col>2</xdr:col>
      <xdr:colOff>9525</xdr:colOff>
      <xdr:row>35</xdr:row>
      <xdr:rowOff>47625</xdr:rowOff>
    </xdr:to>
    <xdr:sp>
      <xdr:nvSpPr>
        <xdr:cNvPr id="1" name="Text 2"/>
        <xdr:cNvSpPr txBox="1">
          <a:spLocks noChangeArrowheads="1"/>
        </xdr:cNvSpPr>
      </xdr:nvSpPr>
      <xdr:spPr>
        <a:xfrm>
          <a:off x="333375" y="4600575"/>
          <a:ext cx="581025" cy="1238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Abzüge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Arbeitnehmeranteil
</a:t>
          </a:r>
        </a:p>
      </xdr:txBody>
    </xdr:sp>
    <xdr:clientData/>
  </xdr:twoCellAnchor>
  <xdr:twoCellAnchor>
    <xdr:from>
      <xdr:col>1</xdr:col>
      <xdr:colOff>57150</xdr:colOff>
      <xdr:row>39</xdr:row>
      <xdr:rowOff>76200</xdr:rowOff>
    </xdr:from>
    <xdr:to>
      <xdr:col>1</xdr:col>
      <xdr:colOff>523875</xdr:colOff>
      <xdr:row>49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14325" y="6296025"/>
          <a:ext cx="466725" cy="1485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Steuerfreie Bezüge</a:t>
          </a:r>
        </a:p>
      </xdr:txBody>
    </xdr:sp>
    <xdr:clientData/>
  </xdr:twoCellAnchor>
  <xdr:twoCellAnchor>
    <xdr:from>
      <xdr:col>4</xdr:col>
      <xdr:colOff>438150</xdr:colOff>
      <xdr:row>0</xdr:row>
      <xdr:rowOff>123825</xdr:rowOff>
    </xdr:from>
    <xdr:to>
      <xdr:col>6</xdr:col>
      <xdr:colOff>1000125</xdr:colOff>
      <xdr:row>4</xdr:row>
      <xdr:rowOff>76200</xdr:rowOff>
    </xdr:to>
    <xdr:sp>
      <xdr:nvSpPr>
        <xdr:cNvPr id="3" name="stemp"/>
        <xdr:cNvSpPr txBox="1">
          <a:spLocks noChangeArrowheads="1"/>
        </xdr:cNvSpPr>
      </xdr:nvSpPr>
      <xdr:spPr>
        <a:xfrm>
          <a:off x="3390900" y="123825"/>
          <a:ext cx="23050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Firmenadresse/Stempel</a:t>
          </a:r>
        </a:p>
      </xdr:txBody>
    </xdr:sp>
    <xdr:clientData/>
  </xdr:twoCellAnchor>
  <xdr:twoCellAnchor>
    <xdr:from>
      <xdr:col>1</xdr:col>
      <xdr:colOff>104775</xdr:colOff>
      <xdr:row>14</xdr:row>
      <xdr:rowOff>76200</xdr:rowOff>
    </xdr:from>
    <xdr:to>
      <xdr:col>1</xdr:col>
      <xdr:colOff>447675</xdr:colOff>
      <xdr:row>25</xdr:row>
      <xdr:rowOff>66675</xdr:rowOff>
    </xdr:to>
    <xdr:sp>
      <xdr:nvSpPr>
        <xdr:cNvPr id="4" name="Text 1"/>
        <xdr:cNvSpPr txBox="1">
          <a:spLocks noChangeArrowheads="1"/>
        </xdr:cNvSpPr>
      </xdr:nvSpPr>
      <xdr:spPr>
        <a:xfrm>
          <a:off x="361950" y="2552700"/>
          <a:ext cx="342900" cy="1771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Steuerpflichtiges Brutto</a:t>
          </a:r>
        </a:p>
      </xdr:txBody>
    </xdr:sp>
    <xdr:clientData/>
  </xdr:twoCellAnchor>
  <xdr:twoCellAnchor>
    <xdr:from>
      <xdr:col>9</xdr:col>
      <xdr:colOff>152400</xdr:colOff>
      <xdr:row>15</xdr:row>
      <xdr:rowOff>133350</xdr:rowOff>
    </xdr:from>
    <xdr:to>
      <xdr:col>12</xdr:col>
      <xdr:colOff>66675</xdr:colOff>
      <xdr:row>21</xdr:row>
      <xdr:rowOff>19050</xdr:rowOff>
    </xdr:to>
    <xdr:sp>
      <xdr:nvSpPr>
        <xdr:cNvPr id="5" name="Text 1"/>
        <xdr:cNvSpPr txBox="1">
          <a:spLocks noChangeArrowheads="1"/>
        </xdr:cNvSpPr>
      </xdr:nvSpPr>
      <xdr:spPr>
        <a:xfrm>
          <a:off x="6362700" y="2752725"/>
          <a:ext cx="27432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jeweilige Lohnform auswählen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laufende monatliche Zahlung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= Einmalzahlung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LgV = laufender monatlicher geltwerter Vorteil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EgV = einmaliger geltwerter Vorteil
</a:t>
          </a:r>
        </a:p>
      </xdr:txBody>
    </xdr:sp>
    <xdr:clientData/>
  </xdr:twoCellAnchor>
  <xdr:twoCellAnchor>
    <xdr:from>
      <xdr:col>4</xdr:col>
      <xdr:colOff>466725</xdr:colOff>
      <xdr:row>0</xdr:row>
      <xdr:rowOff>266700</xdr:rowOff>
    </xdr:from>
    <xdr:to>
      <xdr:col>6</xdr:col>
      <xdr:colOff>971550</xdr:colOff>
      <xdr:row>4</xdr:row>
      <xdr:rowOff>57150</xdr:rowOff>
    </xdr:to>
    <xdr:sp>
      <xdr:nvSpPr>
        <xdr:cNvPr id="6" name="stemp"/>
        <xdr:cNvSpPr txBox="1">
          <a:spLocks noChangeArrowheads="1"/>
        </xdr:cNvSpPr>
      </xdr:nvSpPr>
      <xdr:spPr>
        <a:xfrm>
          <a:off x="3419475" y="266700"/>
          <a:ext cx="22479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-l-s.de/html/downloads.html" TargetMode="External" /><Relationship Id="rId2" Type="http://schemas.openxmlformats.org/officeDocument/2006/relationships/hyperlink" Target="http://www.vorly.de/lohn-gehaltsabrechnun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1">
      <selection activeCell="B3" sqref="B3:B4"/>
    </sheetView>
  </sheetViews>
  <sheetFormatPr defaultColWidth="0" defaultRowHeight="12.75" zeroHeight="1"/>
  <cols>
    <col min="1" max="1" width="40.28125" style="12" customWidth="1"/>
    <col min="2" max="2" width="53.28125" style="1" customWidth="1"/>
    <col min="3" max="3" width="15.421875" style="1" customWidth="1"/>
    <col min="4" max="4" width="4.8515625" style="1" customWidth="1"/>
    <col min="5" max="5" width="3.57421875" style="12" customWidth="1"/>
    <col min="6" max="6" width="51.28125" style="1" customWidth="1"/>
    <col min="7" max="7" width="10.421875" style="2" hidden="1" customWidth="1"/>
    <col min="8" max="8" width="10.8515625" style="2" hidden="1" customWidth="1"/>
    <col min="9" max="9" width="6.00390625" style="2" hidden="1" customWidth="1"/>
    <col min="10" max="10" width="11.7109375" style="2" hidden="1" customWidth="1"/>
    <col min="11" max="11" width="11.421875" style="2" hidden="1" customWidth="1"/>
    <col min="12" max="12" width="5.28125" style="2" hidden="1" customWidth="1"/>
    <col min="13" max="13" width="2.28125" style="2" hidden="1" customWidth="1"/>
    <col min="14" max="14" width="4.8515625" style="2" hidden="1" customWidth="1"/>
    <col min="15" max="15" width="17.28125" style="2" hidden="1" customWidth="1"/>
    <col min="16" max="16" width="12.28125" style="2" hidden="1" customWidth="1"/>
    <col min="17" max="17" width="11.421875" style="2" hidden="1" customWidth="1"/>
    <col min="18" max="255" width="0" style="2" hidden="1" customWidth="1"/>
    <col min="256" max="16384" width="3.421875" style="12" hidden="1" customWidth="1"/>
  </cols>
  <sheetData>
    <row r="1" spans="1:256" ht="14.25" customHeight="1">
      <c r="A1" s="11"/>
      <c r="B1" s="157"/>
      <c r="C1" s="12"/>
      <c r="D1" s="12"/>
      <c r="F1" s="39"/>
      <c r="G1" s="123"/>
      <c r="H1" s="123"/>
      <c r="I1" s="124"/>
      <c r="J1" s="125"/>
      <c r="K1" s="309"/>
      <c r="L1" s="126"/>
      <c r="IV1" s="39"/>
    </row>
    <row r="2" spans="1:256" ht="14.25" customHeight="1">
      <c r="A2" s="16"/>
      <c r="B2" s="17" t="s">
        <v>115</v>
      </c>
      <c r="C2" s="41"/>
      <c r="D2" s="13"/>
      <c r="E2" s="20"/>
      <c r="F2" s="14"/>
      <c r="G2" s="127"/>
      <c r="H2" s="127"/>
      <c r="I2" s="128"/>
      <c r="J2" s="125"/>
      <c r="K2" s="310"/>
      <c r="L2" s="129"/>
      <c r="IV2" s="39"/>
    </row>
    <row r="3" spans="1:256" ht="14.25" customHeight="1">
      <c r="A3" s="19"/>
      <c r="B3" s="305">
        <v>2011</v>
      </c>
      <c r="C3" s="307"/>
      <c r="D3" s="13"/>
      <c r="E3" s="20"/>
      <c r="F3" s="12"/>
      <c r="IV3" s="39"/>
    </row>
    <row r="4" spans="1:256" ht="14.25" customHeight="1">
      <c r="A4" s="19"/>
      <c r="B4" s="306"/>
      <c r="C4" s="308"/>
      <c r="D4" s="12"/>
      <c r="E4" s="20"/>
      <c r="F4" s="39"/>
      <c r="IV4" s="39"/>
    </row>
    <row r="5" spans="1:256" ht="14.25" customHeight="1">
      <c r="A5" s="19"/>
      <c r="B5" s="36" t="s">
        <v>34</v>
      </c>
      <c r="C5" s="20"/>
      <c r="D5" s="158"/>
      <c r="E5" s="21"/>
      <c r="F5" s="12"/>
      <c r="IV5" s="39"/>
    </row>
    <row r="6" spans="1:256" ht="14.25" customHeight="1">
      <c r="A6" s="37" t="s">
        <v>35</v>
      </c>
      <c r="B6" s="64" t="s">
        <v>10</v>
      </c>
      <c r="C6" s="20"/>
      <c r="D6" s="20"/>
      <c r="E6" s="22"/>
      <c r="F6" s="12"/>
      <c r="IV6" s="39"/>
    </row>
    <row r="7" spans="1:256" ht="14.25" customHeight="1">
      <c r="A7" s="34" t="s">
        <v>31</v>
      </c>
      <c r="B7" s="64" t="s">
        <v>29</v>
      </c>
      <c r="C7" s="23"/>
      <c r="D7" s="23"/>
      <c r="E7" s="24"/>
      <c r="F7" s="12"/>
      <c r="IV7" s="39"/>
    </row>
    <row r="8" spans="1:256" ht="14.25" customHeight="1">
      <c r="A8" s="35" t="s">
        <v>30</v>
      </c>
      <c r="B8" s="64" t="s">
        <v>53</v>
      </c>
      <c r="C8" s="66"/>
      <c r="D8" s="20"/>
      <c r="E8" s="24"/>
      <c r="F8" s="12"/>
      <c r="IV8" s="39"/>
    </row>
    <row r="9" spans="1:256" ht="3" customHeight="1">
      <c r="A9" s="25"/>
      <c r="B9" s="26"/>
      <c r="C9" s="26"/>
      <c r="D9" s="26"/>
      <c r="E9" s="24"/>
      <c r="F9" s="12"/>
      <c r="G9" s="3"/>
      <c r="H9" s="137"/>
      <c r="I9" s="3"/>
      <c r="J9" s="138"/>
      <c r="K9" s="3"/>
      <c r="L9" s="3"/>
      <c r="M9" s="3"/>
      <c r="N9" s="3"/>
      <c r="IV9" s="39"/>
    </row>
    <row r="10" spans="1:256" ht="5.25" customHeight="1">
      <c r="A10" s="25"/>
      <c r="B10" s="30"/>
      <c r="C10" s="12"/>
      <c r="D10" s="27"/>
      <c r="E10" s="24"/>
      <c r="F10" s="12"/>
      <c r="G10" s="3"/>
      <c r="H10" s="3"/>
      <c r="I10" s="3"/>
      <c r="J10" s="3"/>
      <c r="K10" s="3"/>
      <c r="L10" s="3"/>
      <c r="M10" s="3"/>
      <c r="N10" s="3"/>
      <c r="IV10" s="39"/>
    </row>
    <row r="11" spans="1:256" ht="15" customHeight="1">
      <c r="A11" s="25"/>
      <c r="B11" s="213" t="s">
        <v>41</v>
      </c>
      <c r="C11" s="214"/>
      <c r="D11" s="215"/>
      <c r="E11" s="28"/>
      <c r="F11" s="39"/>
      <c r="G11" s="3"/>
      <c r="H11" s="8"/>
      <c r="I11" s="98"/>
      <c r="J11" s="99"/>
      <c r="K11" s="139"/>
      <c r="L11" s="3"/>
      <c r="M11" s="3"/>
      <c r="N11" s="3"/>
      <c r="IV11" s="39"/>
    </row>
    <row r="12" spans="1:256" ht="14.25" customHeight="1">
      <c r="A12" s="25"/>
      <c r="B12" s="216" t="s">
        <v>5</v>
      </c>
      <c r="C12" s="42">
        <v>6</v>
      </c>
      <c r="D12" s="217"/>
      <c r="E12" s="20"/>
      <c r="F12" s="12"/>
      <c r="G12" s="3"/>
      <c r="H12" s="93"/>
      <c r="I12" s="94"/>
      <c r="J12" s="93"/>
      <c r="K12" s="139"/>
      <c r="L12" s="3"/>
      <c r="M12" s="3"/>
      <c r="N12" s="3"/>
      <c r="IV12" s="39"/>
    </row>
    <row r="13" spans="1:256" ht="14.25" customHeight="1">
      <c r="A13" s="20"/>
      <c r="B13" s="218" t="s">
        <v>51</v>
      </c>
      <c r="C13" s="43">
        <v>0.9</v>
      </c>
      <c r="D13" s="219"/>
      <c r="F13" s="39"/>
      <c r="G13" s="3"/>
      <c r="H13" s="93"/>
      <c r="I13" s="94"/>
      <c r="J13" s="93"/>
      <c r="K13" s="139"/>
      <c r="L13" s="3"/>
      <c r="M13" s="3"/>
      <c r="N13" s="3"/>
      <c r="IV13" s="39"/>
    </row>
    <row r="14" spans="2:256" ht="14.25" customHeight="1">
      <c r="B14" s="220" t="s">
        <v>251</v>
      </c>
      <c r="C14" s="42">
        <v>1</v>
      </c>
      <c r="D14" s="221"/>
      <c r="F14" s="40"/>
      <c r="G14" s="13"/>
      <c r="H14" s="13"/>
      <c r="I14" s="94"/>
      <c r="J14" s="93"/>
      <c r="K14" s="139"/>
      <c r="L14" s="3"/>
      <c r="M14" s="3"/>
      <c r="N14" s="3"/>
      <c r="IV14" s="39"/>
    </row>
    <row r="15" spans="2:256" ht="14.25" customHeight="1">
      <c r="B15" s="220" t="s">
        <v>252</v>
      </c>
      <c r="C15" s="42">
        <v>1</v>
      </c>
      <c r="D15" s="221"/>
      <c r="F15" s="12"/>
      <c r="G15" s="3"/>
      <c r="H15" s="3"/>
      <c r="I15" s="3"/>
      <c r="J15" s="3"/>
      <c r="K15" s="3"/>
      <c r="L15" s="3"/>
      <c r="M15" s="3"/>
      <c r="N15" s="3"/>
      <c r="IV15" s="39"/>
    </row>
    <row r="16" spans="2:256" ht="14.25" customHeight="1">
      <c r="B16" s="216" t="s">
        <v>43</v>
      </c>
      <c r="C16" s="42">
        <v>0</v>
      </c>
      <c r="D16" s="222"/>
      <c r="E16" s="18"/>
      <c r="F16" s="12"/>
      <c r="G16" s="3"/>
      <c r="H16" s="79"/>
      <c r="I16" s="94"/>
      <c r="J16" s="93"/>
      <c r="K16" s="139"/>
      <c r="L16" s="3"/>
      <c r="M16" s="3"/>
      <c r="N16" s="3"/>
      <c r="IV16" s="39"/>
    </row>
    <row r="17" spans="2:256" ht="14.25" customHeight="1">
      <c r="B17" s="223" t="s">
        <v>128</v>
      </c>
      <c r="C17" s="168">
        <v>15.5</v>
      </c>
      <c r="D17" s="224" t="s">
        <v>44</v>
      </c>
      <c r="E17" s="15"/>
      <c r="F17" s="12"/>
      <c r="G17" s="3"/>
      <c r="H17" s="79"/>
      <c r="I17" s="94"/>
      <c r="J17" s="93"/>
      <c r="K17" s="139"/>
      <c r="L17" s="3"/>
      <c r="M17" s="3"/>
      <c r="N17" s="3"/>
      <c r="IV17" s="39"/>
    </row>
    <row r="18" spans="2:256" ht="14.25" customHeight="1">
      <c r="B18" s="225" t="s">
        <v>129</v>
      </c>
      <c r="C18" s="169">
        <v>0</v>
      </c>
      <c r="D18" s="226" t="s">
        <v>4</v>
      </c>
      <c r="E18" s="15"/>
      <c r="F18" s="12"/>
      <c r="G18" s="3"/>
      <c r="H18" s="3"/>
      <c r="I18" s="3"/>
      <c r="J18" s="3"/>
      <c r="K18" s="3"/>
      <c r="L18" s="3"/>
      <c r="M18" s="3"/>
      <c r="N18" s="3"/>
      <c r="IV18" s="39"/>
    </row>
    <row r="19" spans="2:256" ht="14.25" customHeight="1">
      <c r="B19" s="225" t="s">
        <v>45</v>
      </c>
      <c r="C19" s="170">
        <v>0</v>
      </c>
      <c r="D19" s="227"/>
      <c r="E19" s="15"/>
      <c r="F19" s="12"/>
      <c r="G19" s="3"/>
      <c r="H19" s="91"/>
      <c r="I19" s="94"/>
      <c r="J19" s="93"/>
      <c r="K19" s="136"/>
      <c r="L19" s="3"/>
      <c r="M19" s="3"/>
      <c r="N19" s="3"/>
      <c r="IV19" s="39"/>
    </row>
    <row r="20" spans="2:256" ht="14.25" customHeight="1">
      <c r="B20" s="216" t="s">
        <v>46</v>
      </c>
      <c r="C20" s="42">
        <v>1</v>
      </c>
      <c r="D20" s="227"/>
      <c r="E20" s="15"/>
      <c r="F20" s="12"/>
      <c r="G20" s="3"/>
      <c r="H20" s="3"/>
      <c r="I20" s="3"/>
      <c r="J20" s="3"/>
      <c r="K20" s="140"/>
      <c r="L20" s="3"/>
      <c r="M20" s="3"/>
      <c r="N20" s="3"/>
      <c r="IV20" s="39"/>
    </row>
    <row r="21" spans="2:256" ht="14.25" customHeight="1">
      <c r="B21" s="216" t="s">
        <v>47</v>
      </c>
      <c r="C21" s="42">
        <v>0</v>
      </c>
      <c r="D21" s="227"/>
      <c r="E21" s="15"/>
      <c r="F21" s="12"/>
      <c r="IV21" s="39"/>
    </row>
    <row r="22" spans="2:256" ht="14.25" customHeight="1">
      <c r="B22" s="216" t="s">
        <v>48</v>
      </c>
      <c r="C22" s="42">
        <v>0</v>
      </c>
      <c r="D22" s="227"/>
      <c r="E22" s="15"/>
      <c r="F22" s="12"/>
      <c r="IV22" s="39"/>
    </row>
    <row r="23" spans="2:256" ht="14.25" customHeight="1">
      <c r="B23" s="220" t="s">
        <v>130</v>
      </c>
      <c r="C23" s="42">
        <v>9</v>
      </c>
      <c r="D23" s="222" t="s">
        <v>7</v>
      </c>
      <c r="E23" s="18"/>
      <c r="F23" s="12"/>
      <c r="IV23" s="39"/>
    </row>
    <row r="24" spans="2:256" ht="14.25" customHeight="1">
      <c r="B24" s="228" t="s">
        <v>131</v>
      </c>
      <c r="C24" s="211">
        <v>19755</v>
      </c>
      <c r="D24" s="227"/>
      <c r="E24" s="13"/>
      <c r="F24" s="12"/>
      <c r="IV24" s="39"/>
    </row>
    <row r="25" spans="2:256" ht="14.25" customHeight="1">
      <c r="B25" s="220" t="s">
        <v>6</v>
      </c>
      <c r="C25" s="45">
        <v>0</v>
      </c>
      <c r="D25" s="222" t="s">
        <v>4</v>
      </c>
      <c r="E25" s="15"/>
      <c r="F25" s="12"/>
      <c r="IV25" s="39"/>
    </row>
    <row r="26" spans="1:256" ht="14.25" customHeight="1">
      <c r="A26" s="20"/>
      <c r="B26" s="220" t="s">
        <v>11</v>
      </c>
      <c r="C26" s="45">
        <v>0</v>
      </c>
      <c r="D26" s="222" t="s">
        <v>4</v>
      </c>
      <c r="E26" s="15"/>
      <c r="F26" s="12"/>
      <c r="IV26" s="39"/>
    </row>
    <row r="27" spans="1:256" ht="16.5" customHeight="1">
      <c r="A27" s="20"/>
      <c r="B27" s="251" t="s">
        <v>226</v>
      </c>
      <c r="C27" s="42">
        <v>1</v>
      </c>
      <c r="D27" s="253"/>
      <c r="E27" s="15"/>
      <c r="F27" s="12"/>
      <c r="IV27" s="39"/>
    </row>
    <row r="28" spans="1:256" ht="17.25" customHeight="1">
      <c r="A28" s="20"/>
      <c r="B28" s="252" t="s">
        <v>227</v>
      </c>
      <c r="C28" s="42">
        <v>0</v>
      </c>
      <c r="D28" s="254"/>
      <c r="E28" s="15"/>
      <c r="F28" s="12"/>
      <c r="IV28" s="39"/>
    </row>
    <row r="29" spans="1:256" ht="15.75" customHeight="1">
      <c r="A29" s="20"/>
      <c r="B29" s="303" t="s">
        <v>69</v>
      </c>
      <c r="C29" s="313"/>
      <c r="D29" s="313"/>
      <c r="E29" s="15"/>
      <c r="F29" s="12"/>
      <c r="G29" s="2">
        <v>23.39</v>
      </c>
      <c r="IV29" s="39"/>
    </row>
    <row r="30" spans="2:256" ht="14.25" customHeight="1">
      <c r="B30" s="52" t="s">
        <v>74</v>
      </c>
      <c r="C30" s="51">
        <v>3.3</v>
      </c>
      <c r="D30" s="44" t="s">
        <v>7</v>
      </c>
      <c r="E30" s="13"/>
      <c r="F30" s="12"/>
      <c r="G30" s="2">
        <v>14.29</v>
      </c>
      <c r="IV30" s="39"/>
    </row>
    <row r="31" spans="2:256" ht="14.25" customHeight="1">
      <c r="B31" s="52" t="s">
        <v>70</v>
      </c>
      <c r="C31" s="9">
        <v>0.33</v>
      </c>
      <c r="D31" s="44" t="s">
        <v>7</v>
      </c>
      <c r="E31" s="121"/>
      <c r="F31" s="122"/>
      <c r="G31" s="130">
        <v>201.32</v>
      </c>
      <c r="H31" s="130"/>
      <c r="I31" s="124"/>
      <c r="IV31" s="39"/>
    </row>
    <row r="32" spans="1:256" ht="14.25" customHeight="1">
      <c r="A32" s="31"/>
      <c r="B32" s="41"/>
      <c r="C32" s="13"/>
      <c r="D32" s="13"/>
      <c r="E32" s="15"/>
      <c r="F32" s="15"/>
      <c r="G32" s="2">
        <v>244.29</v>
      </c>
      <c r="IV32" s="39"/>
    </row>
    <row r="33" spans="1:256" ht="14.25" customHeight="1">
      <c r="A33" s="33"/>
      <c r="B33" s="109" t="s">
        <v>73</v>
      </c>
      <c r="C33" s="311" t="s">
        <v>275</v>
      </c>
      <c r="D33" s="312"/>
      <c r="E33" s="312"/>
      <c r="F33" s="65"/>
      <c r="G33" s="2">
        <v>42.35</v>
      </c>
      <c r="H33" s="131"/>
      <c r="IV33" s="39"/>
    </row>
    <row r="34" spans="1:256" ht="12.75">
      <c r="A34" s="33"/>
      <c r="B34" s="25"/>
      <c r="C34" s="25"/>
      <c r="D34" s="12"/>
      <c r="E34" s="15"/>
      <c r="F34" s="15"/>
      <c r="IV34" s="39"/>
    </row>
    <row r="35" spans="1:256" ht="12.75" hidden="1">
      <c r="A35" s="33"/>
      <c r="B35" s="32"/>
      <c r="C35" s="25"/>
      <c r="D35" s="12"/>
      <c r="E35" s="15"/>
      <c r="F35" s="15"/>
      <c r="IV35" s="39"/>
    </row>
    <row r="36" spans="1:256" ht="12.75" hidden="1">
      <c r="A36" s="29"/>
      <c r="B36" s="109"/>
      <c r="C36" s="303"/>
      <c r="D36" s="304"/>
      <c r="E36" s="304"/>
      <c r="F36" s="15"/>
      <c r="IV36" s="39"/>
    </row>
    <row r="37" spans="1:256" ht="12.75" hidden="1">
      <c r="A37" s="29"/>
      <c r="B37" s="25"/>
      <c r="C37" s="25"/>
      <c r="D37" s="12"/>
      <c r="E37" s="15"/>
      <c r="F37" s="15"/>
      <c r="IV37" s="39"/>
    </row>
    <row r="38" spans="1:256" ht="12.75" hidden="1">
      <c r="A38" s="120"/>
      <c r="B38" s="120"/>
      <c r="C38" s="120"/>
      <c r="D38" s="120"/>
      <c r="E38" s="120"/>
      <c r="F38" s="120"/>
      <c r="G38" s="132"/>
      <c r="H38" s="132"/>
      <c r="I38" s="132"/>
      <c r="IV38" s="39"/>
    </row>
    <row r="39" ht="12.75" hidden="1"/>
    <row r="40" ht="12.75" hidden="1"/>
    <row r="41" ht="12.75" hidden="1"/>
    <row r="42" spans="2:6" ht="12.75" hidden="1">
      <c r="B42" s="6"/>
      <c r="C42" s="4"/>
      <c r="E42" s="15"/>
      <c r="F42" s="5"/>
    </row>
    <row r="43" spans="2:6" ht="12.75" hidden="1">
      <c r="B43" s="7"/>
      <c r="C43" s="4"/>
      <c r="E43" s="15"/>
      <c r="F43" s="5"/>
    </row>
    <row r="44" spans="2:6" ht="12.75" hidden="1">
      <c r="B44" s="4"/>
      <c r="C44" s="4"/>
      <c r="E44" s="15"/>
      <c r="F44" s="5"/>
    </row>
    <row r="45" spans="2:6" ht="12.75" hidden="1">
      <c r="B45" s="4"/>
      <c r="C45" s="4"/>
      <c r="E45" s="15"/>
      <c r="F45" s="5"/>
    </row>
    <row r="46" spans="2:6" ht="12.75" hidden="1">
      <c r="B46" s="4"/>
      <c r="C46" s="4"/>
      <c r="E46" s="15"/>
      <c r="F46" s="5"/>
    </row>
    <row r="47" spans="1:256" ht="12.75" hidden="1">
      <c r="A47" s="33"/>
      <c r="B47" s="25"/>
      <c r="C47" s="25"/>
      <c r="D47" s="12"/>
      <c r="E47" s="15"/>
      <c r="F47" s="15"/>
      <c r="IV47" s="39"/>
    </row>
    <row r="48" spans="1:256" ht="12.75" hidden="1">
      <c r="A48" s="33"/>
      <c r="B48" s="25"/>
      <c r="C48" s="25"/>
      <c r="D48" s="12"/>
      <c r="E48" s="15"/>
      <c r="F48" s="15"/>
      <c r="IV48" s="39"/>
    </row>
    <row r="49" spans="1:256" ht="12.75" hidden="1">
      <c r="A49" s="33"/>
      <c r="B49" s="25"/>
      <c r="C49" s="25"/>
      <c r="D49" s="12"/>
      <c r="E49" s="15"/>
      <c r="F49" s="15"/>
      <c r="IV49" s="39"/>
    </row>
    <row r="50" spans="1:256" ht="12.75" hidden="1">
      <c r="A50" s="33"/>
      <c r="B50" s="25"/>
      <c r="C50" s="25"/>
      <c r="D50" s="12"/>
      <c r="E50" s="15"/>
      <c r="F50" s="15"/>
      <c r="IV50" s="39"/>
    </row>
    <row r="51" spans="1:256" ht="12.75" hidden="1">
      <c r="A51" s="33"/>
      <c r="B51" s="25"/>
      <c r="C51" s="25"/>
      <c r="D51" s="12"/>
      <c r="E51" s="15"/>
      <c r="F51" s="15"/>
      <c r="IV51" s="39"/>
    </row>
    <row r="52" spans="1:256" ht="12.75" hidden="1">
      <c r="A52" s="33"/>
      <c r="B52" s="25"/>
      <c r="C52" s="25"/>
      <c r="D52" s="12"/>
      <c r="E52" s="15"/>
      <c r="F52" s="15"/>
      <c r="IV52" s="39"/>
    </row>
    <row r="53" spans="1:256" ht="12.75" hidden="1">
      <c r="A53" s="33"/>
      <c r="B53" s="25"/>
      <c r="C53" s="25"/>
      <c r="D53" s="12"/>
      <c r="E53" s="15"/>
      <c r="F53" s="15"/>
      <c r="IV53" s="39"/>
    </row>
    <row r="54" spans="1:256" ht="12.75" hidden="1">
      <c r="A54" s="33"/>
      <c r="B54" s="25"/>
      <c r="C54" s="25"/>
      <c r="D54" s="12"/>
      <c r="E54" s="15"/>
      <c r="F54" s="15"/>
      <c r="IV54" s="39"/>
    </row>
    <row r="55" spans="1:256" ht="12.75" hidden="1">
      <c r="A55" s="33"/>
      <c r="B55" s="25"/>
      <c r="C55" s="25"/>
      <c r="D55" s="12"/>
      <c r="E55" s="15"/>
      <c r="F55" s="15"/>
      <c r="IV55" s="39"/>
    </row>
    <row r="56" ht="12.75" hidden="1"/>
  </sheetData>
  <sheetProtection/>
  <mergeCells count="6">
    <mergeCell ref="C36:E36"/>
    <mergeCell ref="B3:B4"/>
    <mergeCell ref="C3:C4"/>
    <mergeCell ref="K1:K2"/>
    <mergeCell ref="C33:E33"/>
    <mergeCell ref="B29:D29"/>
  </mergeCells>
  <conditionalFormatting sqref="C20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C12">
      <formula1>"1,2,3,4,5,6"</formula1>
    </dataValidation>
    <dataValidation type="list" allowBlank="1" showInputMessage="1" showErrorMessage="1" sqref="C14:C15 C27:C28 C19:C22">
      <formula1>"0,1"</formula1>
    </dataValidation>
    <dataValidation type="list" operator="notBetween" allowBlank="1" showInputMessage="1" showErrorMessage="1" sqref="C23">
      <formula1>"0,8,9"</formula1>
    </dataValidation>
    <dataValidation type="list" allowBlank="1" showInputMessage="1" showErrorMessage="1" sqref="C16">
      <formula1>"0,0,5,1,1,5,2,2,2,3,3,5,4,4,5,5,5,5,6"</formula1>
    </dataValidation>
    <dataValidation type="decimal" allowBlank="1" showInputMessage="1" showErrorMessage="1" sqref="C13">
      <formula1>0.1</formula1>
      <formula2>1</formula2>
    </dataValidation>
  </dataValidations>
  <hyperlinks>
    <hyperlink ref="B33" r:id="rId1" display="parmentier.ffm@t-online.de"/>
  </hyperlinks>
  <printOptions horizontalCentered="1"/>
  <pageMargins left="0" right="0" top="0" bottom="0" header="0" footer="0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tabSelected="1" defaultGridColor="0" zoomScalePageLayoutView="0" colorId="46" workbookViewId="0" topLeftCell="A1">
      <selection activeCell="C2" sqref="C2"/>
    </sheetView>
  </sheetViews>
  <sheetFormatPr defaultColWidth="0" defaultRowHeight="12.75"/>
  <cols>
    <col min="1" max="1" width="3.8515625" style="70" customWidth="1"/>
    <col min="2" max="2" width="9.7109375" style="70" customWidth="1"/>
    <col min="3" max="3" width="22.00390625" style="70" customWidth="1"/>
    <col min="4" max="4" width="8.7109375" style="70" customWidth="1"/>
    <col min="5" max="5" width="10.57421875" style="73" customWidth="1"/>
    <col min="6" max="6" width="15.57421875" style="70" customWidth="1"/>
    <col min="7" max="7" width="16.7109375" style="74" customWidth="1"/>
    <col min="8" max="8" width="1.421875" style="70" customWidth="1"/>
    <col min="9" max="9" width="4.57421875" style="70" customWidth="1"/>
    <col min="10" max="10" width="10.7109375" style="70" customWidth="1"/>
    <col min="11" max="13" width="15.8515625" style="70" customWidth="1"/>
    <col min="14" max="16384" width="0" style="70" hidden="1" customWidth="1"/>
  </cols>
  <sheetData>
    <row r="1" spans="2:8" ht="32.25" customHeight="1">
      <c r="B1" s="323" t="str">
        <f>IF(Berechnen!$E$67&gt;0,"Lohn-/Gehaltsabrechnung 2011 Gleitzonenbereich","Lohn-/Gehaltsabrechnung 2011")</f>
        <v>Lohn-/Gehaltsabrechnung 2011</v>
      </c>
      <c r="C1" s="324"/>
      <c r="D1" s="324"/>
      <c r="E1" s="68"/>
      <c r="F1" s="68"/>
      <c r="G1" s="69"/>
      <c r="H1" s="68"/>
    </row>
    <row r="2" spans="2:11" ht="13.5">
      <c r="B2" s="70" t="s">
        <v>42</v>
      </c>
      <c r="C2" s="71" t="s">
        <v>76</v>
      </c>
      <c r="D2" s="72"/>
      <c r="J2" s="49"/>
      <c r="K2" s="161" t="s">
        <v>75</v>
      </c>
    </row>
    <row r="3" spans="2:10" ht="13.5">
      <c r="B3" s="76" t="s">
        <v>19</v>
      </c>
      <c r="C3" s="77" t="str">
        <f>Stammdaten!B6</f>
        <v>Mustermann, Hans</v>
      </c>
      <c r="J3" s="78"/>
    </row>
    <row r="4" spans="2:10" ht="14.25" thickBot="1">
      <c r="B4" s="79" t="s">
        <v>20</v>
      </c>
      <c r="C4" s="80" t="str">
        <f>Stammdaten!B7</f>
        <v>Hauptstrasse 23</v>
      </c>
      <c r="D4" s="81"/>
      <c r="E4" s="38"/>
      <c r="J4" s="91"/>
    </row>
    <row r="5" spans="2:12" ht="13.5">
      <c r="B5" s="79" t="s">
        <v>21</v>
      </c>
      <c r="C5" s="80" t="str">
        <f>Stammdaten!B8</f>
        <v>10062 Berlin</v>
      </c>
      <c r="D5" s="81"/>
      <c r="E5" s="82"/>
      <c r="G5" s="83"/>
      <c r="I5" s="84"/>
      <c r="J5" s="314" t="s">
        <v>249</v>
      </c>
      <c r="K5" s="315"/>
      <c r="L5" s="316"/>
    </row>
    <row r="6" spans="2:12" ht="12.75">
      <c r="B6" s="114" t="s">
        <v>72</v>
      </c>
      <c r="C6" s="291">
        <f ca="1">TODAY()</f>
        <v>40913</v>
      </c>
      <c r="D6" s="133"/>
      <c r="E6" s="81"/>
      <c r="F6" s="156" t="s">
        <v>101</v>
      </c>
      <c r="G6" s="262">
        <f>Stammdaten!$C$24</f>
        <v>19755</v>
      </c>
      <c r="I6" s="85"/>
      <c r="J6" s="317"/>
      <c r="K6" s="318"/>
      <c r="L6" s="319"/>
    </row>
    <row r="7" spans="2:12" ht="13.5" thickBot="1">
      <c r="B7" s="79"/>
      <c r="C7" s="146" t="s">
        <v>103</v>
      </c>
      <c r="D7" s="146"/>
      <c r="E7" s="294">
        <f>Stammdaten!$C$12</f>
        <v>6</v>
      </c>
      <c r="F7" s="145" t="s">
        <v>102</v>
      </c>
      <c r="G7" s="263">
        <v>40391</v>
      </c>
      <c r="J7" s="320"/>
      <c r="K7" s="321"/>
      <c r="L7" s="322"/>
    </row>
    <row r="8" spans="2:10" ht="12.75">
      <c r="B8" s="79"/>
      <c r="C8" s="146" t="s">
        <v>22</v>
      </c>
      <c r="D8" s="146"/>
      <c r="E8" s="294">
        <f>Stammdaten!$C$16</f>
        <v>0</v>
      </c>
      <c r="F8" s="174"/>
      <c r="G8" s="264" t="s">
        <v>250</v>
      </c>
      <c r="J8" s="86"/>
    </row>
    <row r="9" spans="2:7" ht="12.75">
      <c r="B9" s="79"/>
      <c r="C9" s="146">
        <f>IF(AND($E$9&lt;1,$E$9&gt;0),"Ehegattenfaktor (nur bei StKl IV)","")</f>
      </c>
      <c r="D9" s="146"/>
      <c r="E9" s="295">
        <f>IF(AND(Stammdaten!$C$13&lt;1,$E$7=4),Stammdaten!$C$13,"")</f>
      </c>
      <c r="F9" s="156" t="str">
        <f>IF(Stammdaten!$C$15=1,"AV-pflichtig","AV-frei")</f>
        <v>AV-pflichtig</v>
      </c>
      <c r="G9" s="297" t="str">
        <f>IF(Stammdaten!$C$14=1,"RV-pflichtig","RV-frei")</f>
        <v>RV-pflichtig</v>
      </c>
    </row>
    <row r="10" spans="2:7" ht="12.75">
      <c r="B10" s="79"/>
      <c r="C10" s="146" t="s">
        <v>99</v>
      </c>
      <c r="D10" s="146"/>
      <c r="E10" s="293">
        <f>IF(Stammdaten!$C$17&gt;20,"privat",Stammdaten!$C$17/100)</f>
        <v>0.155</v>
      </c>
      <c r="F10" s="145" t="s">
        <v>248</v>
      </c>
      <c r="G10" s="274">
        <f>IF(Berechnen!$B$19&gt;0,Berechnen!$B$19/100,"")</f>
      </c>
    </row>
    <row r="11" spans="2:7" ht="12.75">
      <c r="B11" s="79"/>
      <c r="C11" s="175"/>
      <c r="D11" s="175"/>
      <c r="E11" s="266"/>
      <c r="F11" s="290"/>
      <c r="G11" s="263"/>
    </row>
    <row r="12" spans="2:7" ht="12.75">
      <c r="B12" s="79"/>
      <c r="C12" s="146" t="s">
        <v>23</v>
      </c>
      <c r="D12" s="146"/>
      <c r="E12" s="267">
        <f>Stammdaten!$C$25</f>
        <v>0</v>
      </c>
      <c r="F12" s="174" t="s">
        <v>32</v>
      </c>
      <c r="G12" s="265">
        <v>2</v>
      </c>
    </row>
    <row r="13" spans="2:7" ht="13.5" customHeight="1">
      <c r="B13" s="79"/>
      <c r="C13" s="279" t="s">
        <v>11</v>
      </c>
      <c r="D13" s="279"/>
      <c r="E13" s="280">
        <f>Stammdaten!$C$26</f>
        <v>0</v>
      </c>
      <c r="F13" s="281" t="s">
        <v>33</v>
      </c>
      <c r="G13" s="282">
        <v>28</v>
      </c>
    </row>
    <row r="14" spans="1:9" ht="4.5" customHeight="1">
      <c r="A14" s="86"/>
      <c r="B14" s="86"/>
      <c r="C14" s="147"/>
      <c r="D14" s="147"/>
      <c r="E14" s="88"/>
      <c r="F14" s="86"/>
      <c r="G14" s="270"/>
      <c r="H14" s="86"/>
      <c r="I14" s="86"/>
    </row>
    <row r="15" spans="1:9" ht="11.25" customHeight="1">
      <c r="A15" s="86"/>
      <c r="B15" s="86"/>
      <c r="C15" s="147"/>
      <c r="D15" s="155" t="s">
        <v>37</v>
      </c>
      <c r="E15" s="155" t="s">
        <v>83</v>
      </c>
      <c r="F15" s="86"/>
      <c r="G15" s="270"/>
      <c r="H15" s="86"/>
      <c r="I15" s="86"/>
    </row>
    <row r="16" spans="1:10" ht="12.75">
      <c r="A16" s="86"/>
      <c r="B16" s="86"/>
      <c r="C16" s="171" t="s">
        <v>49</v>
      </c>
      <c r="D16" s="111">
        <v>160</v>
      </c>
      <c r="E16" s="67">
        <v>15</v>
      </c>
      <c r="F16" s="268" t="s">
        <v>84</v>
      </c>
      <c r="G16" s="269">
        <f>D16*E16</f>
        <v>2400</v>
      </c>
      <c r="H16" s="255"/>
      <c r="I16" s="86" t="s">
        <v>274</v>
      </c>
      <c r="J16" s="115"/>
    </row>
    <row r="17" spans="1:10" ht="12.75">
      <c r="A17" s="86"/>
      <c r="B17" s="86"/>
      <c r="C17" s="172" t="s">
        <v>85</v>
      </c>
      <c r="D17" s="172"/>
      <c r="E17" s="173"/>
      <c r="F17" s="173"/>
      <c r="G17" s="269">
        <v>0</v>
      </c>
      <c r="H17" s="86"/>
      <c r="I17" s="172" t="s">
        <v>86</v>
      </c>
      <c r="J17" s="115"/>
    </row>
    <row r="18" spans="1:10" ht="12.75">
      <c r="A18" s="86"/>
      <c r="B18" s="86"/>
      <c r="C18" s="172"/>
      <c r="D18" s="172"/>
      <c r="E18" s="173"/>
      <c r="F18" s="173"/>
      <c r="G18" s="269"/>
      <c r="H18" s="86"/>
      <c r="I18" s="172" t="s">
        <v>86</v>
      </c>
      <c r="J18" s="115"/>
    </row>
    <row r="19" spans="1:10" ht="14.25" customHeight="1">
      <c r="A19" s="86"/>
      <c r="B19" s="86"/>
      <c r="C19" s="172"/>
      <c r="D19" s="148" t="s">
        <v>37</v>
      </c>
      <c r="E19" s="187" t="s">
        <v>38</v>
      </c>
      <c r="F19" s="173"/>
      <c r="G19" s="269">
        <v>0</v>
      </c>
      <c r="H19" s="86"/>
      <c r="I19" s="172" t="s">
        <v>86</v>
      </c>
      <c r="J19" s="87"/>
    </row>
    <row r="20" spans="1:9" ht="12.75">
      <c r="A20" s="86"/>
      <c r="B20" s="86"/>
      <c r="C20" s="172" t="s">
        <v>95</v>
      </c>
      <c r="D20" s="113">
        <v>0</v>
      </c>
      <c r="E20" s="112">
        <v>2.87</v>
      </c>
      <c r="F20" s="86"/>
      <c r="G20" s="139">
        <f>D20*E20</f>
        <v>0</v>
      </c>
      <c r="H20" s="86"/>
      <c r="I20" s="172" t="s">
        <v>86</v>
      </c>
    </row>
    <row r="21" spans="1:9" ht="12.75">
      <c r="A21" s="86"/>
      <c r="B21" s="86"/>
      <c r="C21" s="172" t="s">
        <v>96</v>
      </c>
      <c r="D21" s="111">
        <v>0</v>
      </c>
      <c r="E21" s="67">
        <v>0</v>
      </c>
      <c r="F21" s="86"/>
      <c r="G21" s="139">
        <f>D21*E21</f>
        <v>0</v>
      </c>
      <c r="H21" s="86"/>
      <c r="I21" s="172" t="s">
        <v>86</v>
      </c>
    </row>
    <row r="22" spans="1:9" ht="12.75">
      <c r="A22" s="86"/>
      <c r="B22" s="86"/>
      <c r="C22" s="172" t="s">
        <v>50</v>
      </c>
      <c r="D22" s="172"/>
      <c r="E22" s="173"/>
      <c r="F22" s="173"/>
      <c r="G22" s="269">
        <v>0</v>
      </c>
      <c r="H22" s="86"/>
      <c r="I22" s="172" t="s">
        <v>87</v>
      </c>
    </row>
    <row r="23" spans="1:9" ht="12.75">
      <c r="A23" s="86"/>
      <c r="B23" s="86"/>
      <c r="C23" s="172" t="s">
        <v>89</v>
      </c>
      <c r="D23" s="172"/>
      <c r="E23" s="173"/>
      <c r="F23" s="173"/>
      <c r="G23" s="269">
        <v>0</v>
      </c>
      <c r="H23" s="86"/>
      <c r="I23" s="172" t="s">
        <v>87</v>
      </c>
    </row>
    <row r="24" spans="1:9" ht="12.75">
      <c r="A24" s="86"/>
      <c r="B24" s="86"/>
      <c r="C24" s="172" t="s">
        <v>97</v>
      </c>
      <c r="D24" s="172"/>
      <c r="E24" s="173"/>
      <c r="F24" s="173"/>
      <c r="G24" s="269">
        <v>0</v>
      </c>
      <c r="H24" s="86"/>
      <c r="I24" s="172" t="s">
        <v>229</v>
      </c>
    </row>
    <row r="25" spans="1:12" ht="12.75">
      <c r="A25" s="86"/>
      <c r="B25" s="86"/>
      <c r="C25" s="172" t="s">
        <v>98</v>
      </c>
      <c r="D25" s="172"/>
      <c r="E25" s="173"/>
      <c r="F25" s="173"/>
      <c r="G25" s="269">
        <v>0</v>
      </c>
      <c r="H25" s="86"/>
      <c r="I25" s="172" t="s">
        <v>229</v>
      </c>
      <c r="L25" s="134"/>
    </row>
    <row r="26" spans="1:9" ht="12.75" customHeight="1">
      <c r="A26" s="86"/>
      <c r="B26" s="86"/>
      <c r="C26" s="325" t="s">
        <v>112</v>
      </c>
      <c r="D26" s="326"/>
      <c r="E26" s="326"/>
      <c r="F26" s="136"/>
      <c r="G26" s="136">
        <f>G16+G17+G18+G19+G20+G21+G22+G23+G24+G25</f>
        <v>2400</v>
      </c>
      <c r="H26" s="86"/>
      <c r="I26" s="108"/>
    </row>
    <row r="27" spans="1:9" ht="13.5">
      <c r="A27" s="86"/>
      <c r="B27" s="283"/>
      <c r="C27" s="284" t="s">
        <v>272</v>
      </c>
      <c r="D27" s="285"/>
      <c r="E27" s="286"/>
      <c r="F27" s="285"/>
      <c r="G27" s="287">
        <f>G16+Berechnen!$D$12/100+Berechnen!$D$25/100</f>
        <v>2400</v>
      </c>
      <c r="H27" s="86"/>
      <c r="I27" s="86"/>
    </row>
    <row r="28" spans="1:9" ht="5.25" customHeight="1">
      <c r="A28" s="86"/>
      <c r="B28" s="86"/>
      <c r="C28" s="147"/>
      <c r="D28" s="86"/>
      <c r="E28" s="88"/>
      <c r="F28" s="86"/>
      <c r="G28" s="270"/>
      <c r="H28" s="88"/>
      <c r="I28" s="86"/>
    </row>
    <row r="29" spans="1:9" ht="12.75">
      <c r="A29" s="86"/>
      <c r="B29" s="86"/>
      <c r="C29" s="147"/>
      <c r="D29" s="147" t="s">
        <v>57</v>
      </c>
      <c r="E29" s="94"/>
      <c r="F29" s="95"/>
      <c r="G29" s="139">
        <f>Berechnen!$B$71/100</f>
        <v>606.16</v>
      </c>
      <c r="H29" s="92"/>
      <c r="I29" s="86"/>
    </row>
    <row r="30" spans="1:11" ht="12.75">
      <c r="A30" s="86"/>
      <c r="B30" s="86"/>
      <c r="C30" s="147"/>
      <c r="D30" s="273" t="str">
        <f>Stammdaten!$C$23&amp;"% Kirchensteuer"</f>
        <v>9% Kirchensteuer</v>
      </c>
      <c r="E30" s="96"/>
      <c r="F30" s="97"/>
      <c r="G30" s="139">
        <f>Berechnen!$B$93</f>
        <v>54.55</v>
      </c>
      <c r="H30" s="86"/>
      <c r="I30" s="86"/>
      <c r="K30" s="292"/>
    </row>
    <row r="31" spans="1:9" ht="12.75">
      <c r="A31" s="86"/>
      <c r="B31" s="86"/>
      <c r="C31" s="147"/>
      <c r="D31" s="147" t="s">
        <v>8</v>
      </c>
      <c r="E31" s="94"/>
      <c r="F31" s="93"/>
      <c r="G31" s="139">
        <f>Berechnen!$B$87</f>
        <v>33.33</v>
      </c>
      <c r="H31" s="86"/>
      <c r="I31" s="86"/>
    </row>
    <row r="32" spans="1:9" ht="12.75">
      <c r="A32" s="86"/>
      <c r="B32" s="86"/>
      <c r="C32" s="149"/>
      <c r="D32" s="152" t="s">
        <v>255</v>
      </c>
      <c r="E32" s="153"/>
      <c r="F32" s="154"/>
      <c r="G32" s="139">
        <f>Berechnen!$E$77</f>
        <v>196.8</v>
      </c>
      <c r="H32" s="86"/>
      <c r="I32" s="86"/>
    </row>
    <row r="33" spans="1:9" ht="12.75">
      <c r="A33" s="86"/>
      <c r="B33" s="86"/>
      <c r="C33" s="147"/>
      <c r="D33" s="147" t="s">
        <v>100</v>
      </c>
      <c r="E33" s="155"/>
      <c r="F33" s="147"/>
      <c r="G33" s="139">
        <f>Berechnen!$E$76</f>
        <v>36</v>
      </c>
      <c r="H33" s="86"/>
      <c r="I33" s="86"/>
    </row>
    <row r="34" spans="1:9" ht="12.75">
      <c r="A34" s="86"/>
      <c r="B34" s="86"/>
      <c r="C34" s="145"/>
      <c r="D34" s="147" t="s">
        <v>54</v>
      </c>
      <c r="E34" s="155"/>
      <c r="F34" s="179"/>
      <c r="G34" s="139">
        <f>Berechnen!$E$75</f>
        <v>238.8</v>
      </c>
      <c r="H34" s="86"/>
      <c r="I34" s="86"/>
    </row>
    <row r="35" spans="1:9" ht="12.75">
      <c r="A35" s="86"/>
      <c r="B35" s="86"/>
      <c r="C35" s="147"/>
      <c r="D35" s="147" t="str">
        <f>IF(Stammdaten!C22=1,1.475,0.975)+IF(Stammdaten!C20=1,0.25,0)&amp;"% Pflegeversicherung"</f>
        <v>1,225% Pflegeversicherung</v>
      </c>
      <c r="E35" s="155"/>
      <c r="F35" s="147"/>
      <c r="G35" s="139">
        <f>Berechnen!$E$78</f>
        <v>29.4</v>
      </c>
      <c r="H35" s="86"/>
      <c r="I35" s="86"/>
    </row>
    <row r="36" spans="1:9" ht="12.75">
      <c r="A36" s="86"/>
      <c r="B36" s="86"/>
      <c r="C36" s="147"/>
      <c r="D36" s="172" t="s">
        <v>24</v>
      </c>
      <c r="E36" s="177"/>
      <c r="F36" s="176"/>
      <c r="G36" s="269">
        <v>0</v>
      </c>
      <c r="H36" s="86"/>
      <c r="I36" s="86"/>
    </row>
    <row r="37" spans="1:9" ht="13.5">
      <c r="A37" s="86"/>
      <c r="B37" s="283"/>
      <c r="C37" s="284" t="s">
        <v>133</v>
      </c>
      <c r="D37" s="288"/>
      <c r="E37" s="286"/>
      <c r="F37" s="285"/>
      <c r="G37" s="289">
        <f>SUM(G29:G36)</f>
        <v>1195.04</v>
      </c>
      <c r="H37" s="86"/>
      <c r="I37" s="86"/>
    </row>
    <row r="38" spans="1:9" ht="3.75" customHeight="1">
      <c r="A38" s="86"/>
      <c r="B38" s="86"/>
      <c r="C38" s="147"/>
      <c r="D38" s="93"/>
      <c r="E38" s="94"/>
      <c r="F38" s="93"/>
      <c r="G38" s="270"/>
      <c r="H38" s="86"/>
      <c r="I38" s="86"/>
    </row>
    <row r="39" spans="1:9" ht="3.75" customHeight="1">
      <c r="A39" s="86"/>
      <c r="B39" s="86"/>
      <c r="C39" s="147"/>
      <c r="D39" s="93"/>
      <c r="E39" s="94"/>
      <c r="F39" s="93"/>
      <c r="G39" s="270"/>
      <c r="H39" s="86"/>
      <c r="I39" s="86"/>
    </row>
    <row r="40" spans="1:9" ht="12.75" customHeight="1">
      <c r="A40" s="86"/>
      <c r="B40" s="86"/>
      <c r="C40" s="135" t="s">
        <v>39</v>
      </c>
      <c r="D40" s="90" t="s">
        <v>37</v>
      </c>
      <c r="E40" s="100" t="s">
        <v>38</v>
      </c>
      <c r="F40" s="89"/>
      <c r="G40" s="270"/>
      <c r="H40" s="86"/>
      <c r="I40" s="86"/>
    </row>
    <row r="41" spans="1:9" ht="12.75">
      <c r="A41" s="86"/>
      <c r="B41" s="86"/>
      <c r="C41" s="172" t="s">
        <v>36</v>
      </c>
      <c r="D41" s="111">
        <v>0</v>
      </c>
      <c r="E41" s="67">
        <v>2.34</v>
      </c>
      <c r="F41" s="271"/>
      <c r="G41" s="139">
        <f>D41*E41</f>
        <v>0</v>
      </c>
      <c r="H41" s="86"/>
      <c r="I41" s="86"/>
    </row>
    <row r="42" spans="1:9" ht="12.75">
      <c r="A42" s="86"/>
      <c r="B42" s="86"/>
      <c r="C42" s="172" t="s">
        <v>18</v>
      </c>
      <c r="D42" s="111">
        <v>0</v>
      </c>
      <c r="E42" s="67">
        <v>0</v>
      </c>
      <c r="F42" s="272"/>
      <c r="G42" s="139">
        <f>D42*E42</f>
        <v>0</v>
      </c>
      <c r="H42" s="86"/>
      <c r="I42" s="86"/>
    </row>
    <row r="43" spans="1:9" ht="12.75">
      <c r="A43" s="86"/>
      <c r="B43" s="86"/>
      <c r="C43" s="172" t="s">
        <v>17</v>
      </c>
      <c r="D43" s="111">
        <v>0</v>
      </c>
      <c r="E43" s="67">
        <v>0</v>
      </c>
      <c r="F43" s="272"/>
      <c r="G43" s="139">
        <f>D43*E43</f>
        <v>0</v>
      </c>
      <c r="H43" s="86"/>
      <c r="I43" s="86"/>
    </row>
    <row r="44" spans="1:9" ht="12.75">
      <c r="A44" s="86"/>
      <c r="B44" s="86"/>
      <c r="C44" s="172" t="s">
        <v>40</v>
      </c>
      <c r="D44" s="111">
        <v>0</v>
      </c>
      <c r="E44" s="67">
        <v>0</v>
      </c>
      <c r="F44" s="272"/>
      <c r="G44" s="139">
        <f>D44*E44</f>
        <v>0</v>
      </c>
      <c r="H44" s="86"/>
      <c r="I44" s="86"/>
    </row>
    <row r="45" spans="1:9" ht="12.75">
      <c r="A45" s="86"/>
      <c r="B45" s="86"/>
      <c r="C45" s="172" t="s">
        <v>25</v>
      </c>
      <c r="D45" s="176"/>
      <c r="E45" s="177"/>
      <c r="F45" s="176"/>
      <c r="G45" s="139">
        <f>SUM(G41:G43)</f>
        <v>0</v>
      </c>
      <c r="H45" s="86"/>
      <c r="I45" s="86"/>
    </row>
    <row r="46" spans="1:9" ht="8.25" customHeight="1">
      <c r="A46" s="86"/>
      <c r="B46" s="86"/>
      <c r="C46" s="147"/>
      <c r="D46" s="93"/>
      <c r="E46" s="94"/>
      <c r="F46" s="93"/>
      <c r="G46" s="139"/>
      <c r="H46" s="86"/>
      <c r="I46" s="86"/>
    </row>
    <row r="47" spans="1:9" ht="12.75">
      <c r="A47" s="86"/>
      <c r="B47" s="86"/>
      <c r="C47" s="147" t="s">
        <v>253</v>
      </c>
      <c r="D47" s="79"/>
      <c r="E47" s="79"/>
      <c r="F47" s="79"/>
      <c r="G47" s="139">
        <f>IF(AND(Berechnen!$B$12&gt;0,Stammdaten!$C$19=1),ROUND(Stammdaten!$C$17/2,2),"")</f>
      </c>
      <c r="H47" s="86"/>
      <c r="I47" s="86"/>
    </row>
    <row r="48" spans="1:9" ht="12.75">
      <c r="A48" s="86"/>
      <c r="B48" s="86"/>
      <c r="C48" s="172" t="s">
        <v>27</v>
      </c>
      <c r="D48" s="173"/>
      <c r="E48" s="173"/>
      <c r="F48" s="173"/>
      <c r="G48" s="269">
        <v>0</v>
      </c>
      <c r="H48" s="86"/>
      <c r="I48" s="86"/>
    </row>
    <row r="49" spans="1:9" ht="12.75">
      <c r="A49" s="86"/>
      <c r="B49" s="86"/>
      <c r="C49" s="172" t="s">
        <v>26</v>
      </c>
      <c r="D49" s="173"/>
      <c r="E49" s="173"/>
      <c r="F49" s="173"/>
      <c r="G49" s="269">
        <v>0</v>
      </c>
      <c r="H49" s="86"/>
      <c r="I49" s="86"/>
    </row>
    <row r="50" spans="1:9" ht="12.75">
      <c r="A50" s="86"/>
      <c r="B50" s="86"/>
      <c r="C50" s="172"/>
      <c r="D50" s="173"/>
      <c r="E50" s="173"/>
      <c r="F50" s="173"/>
      <c r="G50" s="269">
        <v>0</v>
      </c>
      <c r="H50" s="86"/>
      <c r="I50" s="86"/>
    </row>
    <row r="51" spans="1:9" ht="4.5" customHeight="1">
      <c r="A51" s="86"/>
      <c r="B51" s="86"/>
      <c r="C51" s="147"/>
      <c r="D51" s="93"/>
      <c r="E51" s="94"/>
      <c r="F51" s="93"/>
      <c r="G51" s="139"/>
      <c r="H51" s="86"/>
      <c r="I51" s="86"/>
    </row>
    <row r="52" spans="1:11" ht="13.5">
      <c r="A52" s="86"/>
      <c r="B52" s="283"/>
      <c r="C52" s="275" t="s">
        <v>132</v>
      </c>
      <c r="D52" s="276"/>
      <c r="E52" s="277"/>
      <c r="F52" s="276"/>
      <c r="G52" s="278">
        <f>SUM(G45:G50)</f>
        <v>0</v>
      </c>
      <c r="H52" s="86"/>
      <c r="I52" s="86"/>
      <c r="K52" s="86"/>
    </row>
    <row r="53" spans="2:8" ht="3.75" customHeight="1">
      <c r="B53" s="86"/>
      <c r="C53" s="135"/>
      <c r="D53" s="101"/>
      <c r="E53" s="102"/>
      <c r="F53" s="101"/>
      <c r="G53" s="103"/>
      <c r="H53" s="86"/>
    </row>
    <row r="54" spans="2:8" ht="13.5">
      <c r="B54" s="86"/>
      <c r="C54" s="135" t="s">
        <v>28</v>
      </c>
      <c r="D54" s="101"/>
      <c r="E54" s="102"/>
      <c r="F54" s="101"/>
      <c r="G54" s="116">
        <f>SUM(G27-G37+G52)</f>
        <v>1204.96</v>
      </c>
      <c r="H54" s="86"/>
    </row>
    <row r="55" spans="2:8" ht="3.75" customHeight="1">
      <c r="B55" s="86"/>
      <c r="C55" s="101"/>
      <c r="D55" s="101"/>
      <c r="E55" s="102"/>
      <c r="F55" s="101"/>
      <c r="G55" s="116"/>
      <c r="H55" s="86"/>
    </row>
    <row r="56" spans="2:8" ht="12" customHeight="1">
      <c r="B56" s="332" t="s">
        <v>256</v>
      </c>
      <c r="C56" s="333"/>
      <c r="D56" s="172" t="s">
        <v>136</v>
      </c>
      <c r="E56" s="340"/>
      <c r="F56" s="336"/>
      <c r="G56" s="336"/>
      <c r="H56" s="86"/>
    </row>
    <row r="57" spans="2:8" ht="12.75" customHeight="1">
      <c r="B57" s="188"/>
      <c r="C57" s="189"/>
      <c r="D57" s="190" t="s">
        <v>137</v>
      </c>
      <c r="E57" s="340"/>
      <c r="F57" s="336"/>
      <c r="G57" s="336"/>
      <c r="H57" s="86"/>
    </row>
    <row r="58" spans="2:8" ht="12.75" customHeight="1">
      <c r="B58" s="191"/>
      <c r="C58" s="189"/>
      <c r="D58" s="190" t="s">
        <v>138</v>
      </c>
      <c r="E58" s="340"/>
      <c r="F58" s="336"/>
      <c r="G58" s="336"/>
      <c r="H58" s="86"/>
    </row>
    <row r="59" spans="2:8" ht="33.75" customHeight="1">
      <c r="B59" s="332" t="s">
        <v>120</v>
      </c>
      <c r="C59" s="333"/>
      <c r="D59" s="335"/>
      <c r="E59" s="336"/>
      <c r="F59" s="336"/>
      <c r="G59" s="192"/>
      <c r="H59" s="86"/>
    </row>
    <row r="60" spans="2:8" ht="10.5" customHeight="1">
      <c r="B60" s="334"/>
      <c r="C60" s="334"/>
      <c r="D60" s="337" t="s">
        <v>116</v>
      </c>
      <c r="E60" s="338"/>
      <c r="F60" s="338"/>
      <c r="G60" s="339"/>
      <c r="H60" s="86"/>
    </row>
    <row r="61" spans="2:8" ht="12" customHeight="1">
      <c r="B61" s="193"/>
      <c r="C61" s="193"/>
      <c r="D61" s="327" t="s">
        <v>121</v>
      </c>
      <c r="E61" s="328"/>
      <c r="F61" s="328"/>
      <c r="G61" s="329"/>
      <c r="H61" s="86"/>
    </row>
    <row r="62" spans="2:8" ht="12.75">
      <c r="B62" s="141" t="s">
        <v>104</v>
      </c>
      <c r="C62" s="144"/>
      <c r="D62" s="142"/>
      <c r="E62" s="142"/>
      <c r="F62" s="142"/>
      <c r="G62" s="143"/>
      <c r="H62" s="86"/>
    </row>
    <row r="63" spans="2:8" ht="12.75">
      <c r="B63" s="150" t="s">
        <v>113</v>
      </c>
      <c r="C63" s="163">
        <f>Lohnkonto!$C$7</f>
        <v>4800</v>
      </c>
      <c r="D63" s="131" t="s">
        <v>105</v>
      </c>
      <c r="E63" s="163">
        <f>Lohnkonto!$C$19</f>
        <v>412.3</v>
      </c>
      <c r="F63" s="131" t="s">
        <v>117</v>
      </c>
      <c r="G63" s="164">
        <f>Lohnkonto!$C$9</f>
        <v>0</v>
      </c>
      <c r="H63" s="86"/>
    </row>
    <row r="64" spans="2:8" ht="12.75">
      <c r="B64" s="150" t="s">
        <v>57</v>
      </c>
      <c r="C64" s="163">
        <f>Lohnkonto!$C$13</f>
        <v>1297.1599999999999</v>
      </c>
      <c r="D64" s="131" t="s">
        <v>106</v>
      </c>
      <c r="E64" s="163">
        <f>Lohnkonto!$C$20</f>
        <v>500.3</v>
      </c>
      <c r="F64" s="131" t="s">
        <v>123</v>
      </c>
      <c r="G64" s="164">
        <f>Lohnkonto!$C$33</f>
        <v>37.44</v>
      </c>
      <c r="H64" s="3"/>
    </row>
    <row r="65" spans="2:9" ht="12.75">
      <c r="B65" s="150" t="s">
        <v>9</v>
      </c>
      <c r="C65" s="163">
        <f>Lohnkonto!$C$17</f>
        <v>116.74</v>
      </c>
      <c r="D65" s="131" t="s">
        <v>107</v>
      </c>
      <c r="E65" s="163">
        <f>Lohnkonto!$C$21</f>
        <v>75.42</v>
      </c>
      <c r="F65" s="131"/>
      <c r="G65" s="164"/>
      <c r="H65" s="76"/>
      <c r="I65" s="2"/>
    </row>
    <row r="66" spans="2:8" s="2" customFormat="1" ht="12.75">
      <c r="B66" s="151" t="s">
        <v>108</v>
      </c>
      <c r="C66" s="165">
        <f>Lohnkonto!$C$15</f>
        <v>71.33</v>
      </c>
      <c r="D66" s="167" t="s">
        <v>109</v>
      </c>
      <c r="E66" s="165">
        <f>Lohnkonto!$C$22</f>
        <v>55.019999999999996</v>
      </c>
      <c r="F66" s="167" t="s">
        <v>118</v>
      </c>
      <c r="G66" s="166">
        <f>Lohnkonto!$C$35</f>
        <v>2309.17</v>
      </c>
      <c r="H66" s="75"/>
    </row>
    <row r="67" spans="2:9" s="2" customFormat="1" ht="12" customHeight="1">
      <c r="B67" s="105"/>
      <c r="C67" s="104"/>
      <c r="I67" s="70"/>
    </row>
    <row r="68" spans="2:8" ht="12.75">
      <c r="B68" s="330" t="s">
        <v>134</v>
      </c>
      <c r="C68" s="310"/>
      <c r="D68" s="331" t="s">
        <v>119</v>
      </c>
      <c r="E68" s="331"/>
      <c r="F68" s="331"/>
      <c r="G68" s="331"/>
      <c r="H68" s="76"/>
    </row>
    <row r="69" spans="2:7" ht="11.25" customHeight="1">
      <c r="B69" s="106"/>
      <c r="C69" s="106"/>
      <c r="D69" s="106"/>
      <c r="E69" s="107"/>
      <c r="F69" s="106"/>
      <c r="G69" s="70"/>
    </row>
  </sheetData>
  <sheetProtection selectLockedCells="1" selectUnlockedCells="1"/>
  <mergeCells count="13">
    <mergeCell ref="E56:G56"/>
    <mergeCell ref="E57:G57"/>
    <mergeCell ref="E58:G58"/>
    <mergeCell ref="J5:L7"/>
    <mergeCell ref="B1:D1"/>
    <mergeCell ref="C26:E26"/>
    <mergeCell ref="D61:G61"/>
    <mergeCell ref="B68:C68"/>
    <mergeCell ref="D68:G68"/>
    <mergeCell ref="B56:C56"/>
    <mergeCell ref="B59:C60"/>
    <mergeCell ref="D59:F59"/>
    <mergeCell ref="D60:G60"/>
  </mergeCells>
  <conditionalFormatting sqref="C34">
    <cfRule type="cellIs" priority="4" dxfId="2" operator="lessThan" stopIfTrue="1">
      <formula>0</formula>
    </cfRule>
    <cfRule type="cellIs" priority="5" dxfId="4" operator="notEqual" stopIfTrue="1">
      <formula>0</formula>
    </cfRule>
  </conditionalFormatting>
  <conditionalFormatting sqref="H73:L73">
    <cfRule type="cellIs" priority="6" dxfId="3" operator="equal" stopIfTrue="1">
      <formula>0</formula>
    </cfRule>
  </conditionalFormatting>
  <conditionalFormatting sqref="C27:C32 D29 D31">
    <cfRule type="cellIs" priority="2" dxfId="2" operator="lessThan" stopIfTrue="1">
      <formula>0</formula>
    </cfRule>
    <cfRule type="cellIs" priority="3" dxfId="1" operator="greaterThan" stopIfTrue="1">
      <formula>0</formula>
    </cfRule>
  </conditionalFormatting>
  <conditionalFormatting sqref="K8:K14 J8">
    <cfRule type="cellIs" priority="7" dxfId="0" operator="equal" stopIfTrue="1">
      <formula>0</formula>
    </cfRule>
  </conditionalFormatting>
  <dataValidations count="2">
    <dataValidation type="list" allowBlank="1" showInputMessage="1" showErrorMessage="1" sqref="C2">
      <formula1>"Januar,Februar,März,April,Mai,Juni,Juli,August,September,Oktober,November,Dezember"</formula1>
    </dataValidation>
    <dataValidation type="list" allowBlank="1" showInputMessage="1" showErrorMessage="1" sqref="I17:I25">
      <formula1>"L,E,LgV,EgV"</formula1>
    </dataValidation>
  </dataValidations>
  <hyperlinks>
    <hyperlink ref="D68" r:id="rId1" display="http://www.d-l-s.de/html/downloads.html "/>
    <hyperlink ref="D68:G68" r:id="rId2" display="http://www.vorly.de/lohn-gehaltsabrechnung"/>
  </hyperlinks>
  <printOptions/>
  <pageMargins left="0.7086614173228347" right="0.7086614173228347" top="0.1968503937007874" bottom="0.15748031496062992" header="0" footer="0"/>
  <pageSetup blackAndWhite="1"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00390625" style="195" customWidth="1"/>
    <col min="2" max="2" width="14.00390625" style="195" customWidth="1"/>
    <col min="3" max="3" width="2.28125" style="0" customWidth="1"/>
    <col min="5" max="5" width="11.8515625" style="0" customWidth="1"/>
    <col min="6" max="6" width="1.7109375" style="0" customWidth="1"/>
    <col min="7" max="7" width="12.00390625" style="195" customWidth="1"/>
    <col min="8" max="8" width="14.00390625" style="195" customWidth="1"/>
    <col min="9" max="9" width="1.57421875" style="0" customWidth="1"/>
    <col min="10" max="10" width="12.00390625" style="195" customWidth="1"/>
    <col min="11" max="11" width="14.00390625" style="195" customWidth="1"/>
    <col min="12" max="12" width="1.57421875" style="0" customWidth="1"/>
    <col min="14" max="14" width="14.140625" style="0" customWidth="1"/>
  </cols>
  <sheetData>
    <row r="2" spans="1:14" ht="12.75">
      <c r="A2" s="194" t="s">
        <v>139</v>
      </c>
      <c r="B2" s="194"/>
      <c r="D2" s="30" t="s">
        <v>117</v>
      </c>
      <c r="E2" s="12"/>
      <c r="G2" s="194" t="s">
        <v>219</v>
      </c>
      <c r="H2" s="194"/>
      <c r="J2" s="194" t="s">
        <v>220</v>
      </c>
      <c r="K2" s="194"/>
      <c r="M2" s="296"/>
      <c r="N2" s="259"/>
    </row>
    <row r="3" spans="1:14" ht="12.75">
      <c r="A3" s="195" t="s">
        <v>140</v>
      </c>
      <c r="B3" s="198">
        <f>IF(gebdatum&lt;=14976,1,IF(gebdatum&gt;17167,-1,DATEDIF(14611,gebdatum,"y"))+1)</f>
        <v>0</v>
      </c>
      <c r="D3" s="249">
        <f>IF(Gehaltsabrechnung!$I$17="E",Gehaltsabrechnung!$G$17,0)</f>
        <v>0</v>
      </c>
      <c r="E3" s="250"/>
      <c r="F3" s="210"/>
      <c r="G3" s="195" t="s">
        <v>140</v>
      </c>
      <c r="H3" s="198">
        <f>IF(gebdatum&lt;=14976,1,IF(gebdatum&gt;17167,-1,DATEDIF(14611,gebdatum,"y"))+1)</f>
        <v>0</v>
      </c>
      <c r="J3" s="195" t="s">
        <v>140</v>
      </c>
      <c r="K3" s="198">
        <f>IF(gebdatum&lt;=14976,1,IF(gebdatum&gt;17167,-1,DATEDIF(14611,gebdatum,"y"))+1)</f>
        <v>0</v>
      </c>
      <c r="M3" s="296"/>
      <c r="N3" s="259"/>
    </row>
    <row r="4" spans="1:14" ht="12.75">
      <c r="A4" s="195" t="s">
        <v>141</v>
      </c>
      <c r="B4" s="195">
        <f>IF(Stammdaten!$C$12&gt;4,0,Stammdaten!$C$16)</f>
        <v>0</v>
      </c>
      <c r="D4" s="231">
        <f>IF(Gehaltsabrechnung!$I$18="E",Gehaltsabrechnung!$G$18,0)</f>
        <v>0</v>
      </c>
      <c r="E4" s="232"/>
      <c r="G4" s="195" t="s">
        <v>141</v>
      </c>
      <c r="H4" s="195">
        <f>IF(Stammdaten!$C$12&gt;4,0,Stammdaten!$C$16)</f>
        <v>0</v>
      </c>
      <c r="J4" s="195" t="s">
        <v>141</v>
      </c>
      <c r="K4" s="195">
        <f>IF(Stammdaten!$C$12&gt;4,0,Stammdaten!$C$16)</f>
        <v>0</v>
      </c>
      <c r="M4" s="259"/>
      <c r="N4" s="259"/>
    </row>
    <row r="5" spans="1:14" ht="12.75">
      <c r="A5" s="195" t="s">
        <v>142</v>
      </c>
      <c r="B5" s="195">
        <v>2</v>
      </c>
      <c r="D5" s="231">
        <f>IF(Gehaltsabrechnung!$I$19="E",Gehaltsabrechnung!$G$19,0)</f>
        <v>0</v>
      </c>
      <c r="E5" s="232"/>
      <c r="G5" s="195" t="s">
        <v>142</v>
      </c>
      <c r="H5" s="195">
        <v>1</v>
      </c>
      <c r="J5" s="195" t="s">
        <v>142</v>
      </c>
      <c r="K5" s="195">
        <v>1</v>
      </c>
      <c r="M5" s="258"/>
      <c r="N5" s="302"/>
    </row>
    <row r="6" spans="1:14" ht="12.75">
      <c r="A6" s="195" t="s">
        <v>143</v>
      </c>
      <c r="B6" s="195">
        <f>IF($B$3&gt;0,1,IF(Stammdaten!$C$14=1,0,1))</f>
        <v>0</v>
      </c>
      <c r="D6" s="231">
        <f>IF(Gehaltsabrechnung!$I$20="E",Gehaltsabrechnung!$G$20,0)</f>
        <v>0</v>
      </c>
      <c r="E6" s="232"/>
      <c r="G6" s="195" t="s">
        <v>143</v>
      </c>
      <c r="H6" s="195">
        <f>IF($B$3&gt;0,1,IF(Stammdaten!$C$14=1,0,1))</f>
        <v>0</v>
      </c>
      <c r="J6" s="195" t="s">
        <v>143</v>
      </c>
      <c r="K6" s="195">
        <f>IF($B$3&gt;0,1,IF(Stammdaten!$C$14=1,0,1))</f>
        <v>0</v>
      </c>
      <c r="M6" s="258"/>
      <c r="N6" s="302"/>
    </row>
    <row r="7" spans="1:14" ht="12.75">
      <c r="A7" s="195" t="s">
        <v>144</v>
      </c>
      <c r="B7" s="196">
        <f>ROUNDDOWN((Gehaltsabrechnung!$G$26*100-E13)*12,0)</f>
        <v>2880000</v>
      </c>
      <c r="D7" s="231">
        <f>IF(Gehaltsabrechnung!$I$21="E",Gehaltsabrechnung!$G$21,0)</f>
        <v>0</v>
      </c>
      <c r="E7" s="232"/>
      <c r="G7" s="195" t="s">
        <v>144</v>
      </c>
      <c r="H7" s="196">
        <f>ROUNDDOWN((Gehaltsabrechnung!$G$26*100-E13)*12+Lohnkonto!$C$9*100-E13,2)</f>
        <v>2880000</v>
      </c>
      <c r="J7" s="195" t="s">
        <v>144</v>
      </c>
      <c r="K7" s="196">
        <f>ROUNDDOWN((Gehaltsabrechnung!$G$26*100-E13)*12+Lohnkonto!$C$9*100,2)</f>
        <v>2880000</v>
      </c>
      <c r="M7" s="258"/>
      <c r="N7" s="302"/>
    </row>
    <row r="8" spans="1:11" ht="12.75">
      <c r="A8" s="195" t="s">
        <v>145</v>
      </c>
      <c r="B8" s="197">
        <f>Stammdaten!$C$12</f>
        <v>6</v>
      </c>
      <c r="D8" s="231">
        <f>IF(Gehaltsabrechnung!$I$22="E",Gehaltsabrechnung!$G$22,0)</f>
        <v>0</v>
      </c>
      <c r="E8" s="232"/>
      <c r="G8" s="195" t="s">
        <v>145</v>
      </c>
      <c r="H8" s="197">
        <f>Stammdaten!$C$12</f>
        <v>6</v>
      </c>
      <c r="J8" s="195" t="s">
        <v>145</v>
      </c>
      <c r="K8" s="197">
        <f>Stammdaten!$C$12</f>
        <v>6</v>
      </c>
    </row>
    <row r="9" spans="1:14" ht="12.75">
      <c r="A9" s="195" t="s">
        <v>146</v>
      </c>
      <c r="B9" s="198">
        <f>Stammdaten!$C$25*100</f>
        <v>0</v>
      </c>
      <c r="D9" s="231">
        <f>IF(Gehaltsabrechnung!$I$23="E",Gehaltsabrechnung!$G$23,0)</f>
        <v>0</v>
      </c>
      <c r="E9" s="232"/>
      <c r="G9" s="195" t="s">
        <v>146</v>
      </c>
      <c r="H9" s="198">
        <f>Stammdaten!$C$25*100</f>
        <v>0</v>
      </c>
      <c r="J9" s="195" t="s">
        <v>146</v>
      </c>
      <c r="K9" s="198">
        <f>Stammdaten!$C$25*100</f>
        <v>0</v>
      </c>
      <c r="M9" s="257" t="s">
        <v>264</v>
      </c>
      <c r="N9" s="299"/>
    </row>
    <row r="10" spans="1:15" ht="12.75">
      <c r="A10" s="195" t="s">
        <v>147</v>
      </c>
      <c r="B10" s="199">
        <f>IF($C$12=6,0,Stammdaten!$C$26*100)</f>
        <v>0</v>
      </c>
      <c r="D10" s="231">
        <f>IF(Gehaltsabrechnung!$I$24="E",Gehaltsabrechnung!$G$24,0)</f>
        <v>0</v>
      </c>
      <c r="E10" s="232"/>
      <c r="G10" s="195" t="s">
        <v>147</v>
      </c>
      <c r="H10" s="199">
        <f>IF($C$12=6,0,Stammdaten!$C$26*100)</f>
        <v>0</v>
      </c>
      <c r="J10" s="195" t="s">
        <v>147</v>
      </c>
      <c r="K10" s="199">
        <f>IF($C$12=6,0,Stammdaten!$C$26*100)</f>
        <v>0</v>
      </c>
      <c r="M10" s="296"/>
      <c r="N10" s="258">
        <f>IF(Gehaltsabrechnung!$C$2="Januar",1,0)</f>
        <v>0</v>
      </c>
      <c r="O10" s="259"/>
    </row>
    <row r="11" spans="1:15" ht="12.75">
      <c r="A11" s="195" t="s">
        <v>148</v>
      </c>
      <c r="B11" s="199">
        <f>IF(Stammdaten!$C$21=0,66000,57600)</f>
        <v>66000</v>
      </c>
      <c r="D11" s="231">
        <f>IF(Gehaltsabrechnung!$I$25="E",Gehaltsabrechnung!$G$25,0)</f>
        <v>0</v>
      </c>
      <c r="E11" s="232"/>
      <c r="G11" s="195" t="s">
        <v>148</v>
      </c>
      <c r="H11" s="199">
        <f>IF(Stammdaten!$C$21=0,66000,57600)</f>
        <v>66000</v>
      </c>
      <c r="J11" s="195" t="s">
        <v>148</v>
      </c>
      <c r="K11" s="199">
        <f>IF(Stammdaten!$C$21=0,66000,57600)</f>
        <v>66000</v>
      </c>
      <c r="M11" s="259"/>
      <c r="N11" s="259">
        <f>IF(Gehaltsabrechnung!$C$2="Februar",2,0)</f>
        <v>2</v>
      </c>
      <c r="O11" s="259"/>
    </row>
    <row r="12" spans="1:15" ht="12.75">
      <c r="A12" s="195" t="s">
        <v>149</v>
      </c>
      <c r="B12" s="200">
        <f>IF(Stammdaten!$C$18&gt;20,MAX($B$38,ROUNDDOWN(Stammdaten!$C$18*12,2)-IF($C$22=1,0.07475,0.07975)*MIN(B7/100,44550)),0)</f>
        <v>0</v>
      </c>
      <c r="D12" s="247">
        <f>SUM(D3:D11)*100</f>
        <v>0</v>
      </c>
      <c r="E12" s="241" t="s">
        <v>228</v>
      </c>
      <c r="G12" s="195" t="s">
        <v>149</v>
      </c>
      <c r="H12" s="200">
        <f>IF(Stammdaten!$C$18&gt;20,MAX($B$38,ROUNDDOWN(Stammdaten!$C$18*12,2)-IF($C$22=1,0.07475,0.07975)*MIN(H7/100,44550)),0)</f>
        <v>0</v>
      </c>
      <c r="J12" s="195" t="s">
        <v>149</v>
      </c>
      <c r="K12" s="200">
        <f>IF(Stammdaten!$C$18&gt;20,MAX($B$38,ROUNDDOWN(Stammdaten!$C$18*12,2)-IF($C$22=1,0.07475,0.07975)*MIN(K7/100,44550)),0)</f>
        <v>0</v>
      </c>
      <c r="M12" s="258" t="s">
        <v>267</v>
      </c>
      <c r="N12" s="298">
        <f>IF(Gehaltsabrechnung!$C$2="März",3,0)</f>
        <v>0</v>
      </c>
      <c r="O12" s="259"/>
    </row>
    <row r="13" spans="1:15" ht="12.75">
      <c r="A13" s="195" t="s">
        <v>150</v>
      </c>
      <c r="B13" s="201">
        <f>IF(Stammdaten!$C$22=0,0.00975,0.01475)+IF(AND(Stammdaten!$C$16=0,Stammdaten!$C$20=1),0.0025,0)</f>
        <v>0.01225</v>
      </c>
      <c r="D13" t="s">
        <v>217</v>
      </c>
      <c r="E13">
        <f>SUM(D12+D37)</f>
        <v>0</v>
      </c>
      <c r="G13" s="195" t="s">
        <v>150</v>
      </c>
      <c r="H13" s="201">
        <f>IF(Stammdaten!$C$22=0,0.00975,0.01475)+IF(AND(Stammdaten!$C$16=0,Stammdaten!$C$20=1),0.0025,0)</f>
        <v>0.01225</v>
      </c>
      <c r="J13" s="195" t="s">
        <v>150</v>
      </c>
      <c r="K13" s="201">
        <f>IF(Stammdaten!$C$22=0,0.00975,0.01475)+IF(AND(Stammdaten!$C$16=0,Stammdaten!$C$20=1),0.0025,0)</f>
        <v>0.01225</v>
      </c>
      <c r="M13" s="258" t="s">
        <v>268</v>
      </c>
      <c r="N13" s="259">
        <f>IF(Gehaltsabrechnung!$C$2="April",4,0)</f>
        <v>0</v>
      </c>
      <c r="O13" s="259"/>
    </row>
    <row r="14" spans="1:15" ht="12.75">
      <c r="A14" s="195" t="s">
        <v>151</v>
      </c>
      <c r="B14" s="195">
        <f>IF(OR(OR(Stammdaten!$C$13=0,Stammdaten!$C$13&gt;1),Stammdaten!$C$12&lt;&gt;4),1,Stammdaten!$C$13)</f>
        <v>1</v>
      </c>
      <c r="G14" s="195" t="s">
        <v>151</v>
      </c>
      <c r="H14" s="195">
        <f>IF(OR(OR(Stammdaten!$C$13=0,Stammdaten!$C$13&gt;1),Stammdaten!$C$12&lt;&gt;4),1,Stammdaten!$C$13)</f>
        <v>1</v>
      </c>
      <c r="J14" s="195" t="s">
        <v>151</v>
      </c>
      <c r="K14" s="195">
        <f>IF(OR(OR(Stammdaten!$C$13=0,Stammdaten!$C$13&gt;1),Stammdaten!$C$12&lt;&gt;4),1,Stammdaten!$C$13)</f>
        <v>1</v>
      </c>
      <c r="M14" s="258" t="s">
        <v>269</v>
      </c>
      <c r="N14" s="259">
        <f>IF(Gehaltsabrechnung!$C$2="Mai",5,0)</f>
        <v>0</v>
      </c>
      <c r="O14" s="259"/>
    </row>
    <row r="15" spans="1:14" ht="12.75">
      <c r="A15" s="202" t="s">
        <v>152</v>
      </c>
      <c r="B15" s="203"/>
      <c r="D15" s="30" t="s">
        <v>201</v>
      </c>
      <c r="E15" s="30"/>
      <c r="G15" s="202" t="s">
        <v>152</v>
      </c>
      <c r="H15" s="203"/>
      <c r="J15" s="202" t="s">
        <v>152</v>
      </c>
      <c r="K15" s="203"/>
      <c r="M15" s="258" t="s">
        <v>270</v>
      </c>
      <c r="N15">
        <f>IF(Gehaltsabrechnung!$C$2="Juni",6,0)</f>
        <v>0</v>
      </c>
    </row>
    <row r="16" spans="1:14" ht="12.75">
      <c r="A16" s="204" t="s">
        <v>153</v>
      </c>
      <c r="B16" s="195">
        <f>IF(B3=1,0.4,IF(B3=2,0.384,IF(B3=3,0.368,IF(B3=4,0.352,IF(B3=5,0.336,IF(B3=6,0.32,IF(B3=7,0.304,0)))))))</f>
        <v>0</v>
      </c>
      <c r="D16" s="249">
        <f>IF(Gehaltsabrechnung!$I$17="L",Gehaltsabrechnung!$G$17,0)</f>
        <v>0</v>
      </c>
      <c r="E16" s="250"/>
      <c r="G16" s="204" t="s">
        <v>153</v>
      </c>
      <c r="H16" s="195">
        <f>IF(H3=1,0.4,IF(H3=2,0.384,IF(H3=3,0.368,IF(H3=4,0.352,IF(H3=5,0.336,IF(H3=6,0.32,IF(H3=7,0.304,0)))))))</f>
        <v>0</v>
      </c>
      <c r="J16" s="204" t="s">
        <v>153</v>
      </c>
      <c r="K16" s="195">
        <f>IF(K3=1,0.4,IF(K3=2,0.384,IF(K3=3,0.368,IF(K3=4,0.352,IF(K3=5,0.336,IF(K3=6,0.32,IF(K3=7,0.304,0)))))))</f>
        <v>0</v>
      </c>
      <c r="N16">
        <f>IF(Gehaltsabrechnung!$C$2="Juli",7,0)</f>
        <v>0</v>
      </c>
    </row>
    <row r="17" spans="1:14" ht="12.75">
      <c r="A17" s="195" t="s">
        <v>154</v>
      </c>
      <c r="B17" s="195">
        <f>IF(B3=1,190000,IF(B3=2,182400,IF(B3=3,174800,IF(B3=4,167200,IF(B3=5,159600,IF(B3=6,152000,IF(B3=7,144400,0)))))))</f>
        <v>0</v>
      </c>
      <c r="D17" s="231">
        <f>IF(Gehaltsabrechnung!$I$18="L",Gehaltsabrechnung!$G$18,0)</f>
        <v>0</v>
      </c>
      <c r="E17" s="232"/>
      <c r="G17" s="195" t="s">
        <v>154</v>
      </c>
      <c r="H17" s="195">
        <f>IF(H3=1,190000,IF(H3=2,182400,IF(H3=3,174800,IF(H3=4,167200,IF(H3=5,159600,IF(H3=6,152000,IF(H3=7,144400,0)))))))</f>
        <v>0</v>
      </c>
      <c r="J17" s="195" t="s">
        <v>154</v>
      </c>
      <c r="K17" s="195">
        <f>IF(K3=1,190000,IF(K3=2,182400,IF(K3=3,174800,IF(K3=4,167200,IF(K3=5,159600,IF(K3=6,152000,IF(K3=7,144400,0)))))))</f>
        <v>0</v>
      </c>
      <c r="N17">
        <f>IF(Gehaltsabrechnung!$C$2="August",8,0)</f>
        <v>0</v>
      </c>
    </row>
    <row r="18" spans="1:14" ht="12.75">
      <c r="A18" s="195" t="s">
        <v>155</v>
      </c>
      <c r="B18" s="205">
        <f>B17</f>
        <v>0</v>
      </c>
      <c r="D18" s="231">
        <f>IF(Gehaltsabrechnung!$I$19="L",Gehaltsabrechnung!$G$19,0)</f>
        <v>0</v>
      </c>
      <c r="E18" s="232"/>
      <c r="G18" s="195" t="s">
        <v>155</v>
      </c>
      <c r="H18" s="205">
        <f>H17</f>
        <v>0</v>
      </c>
      <c r="J18" s="195" t="s">
        <v>155</v>
      </c>
      <c r="K18" s="205">
        <f>K17</f>
        <v>0</v>
      </c>
      <c r="N18">
        <f>IF(Gehaltsabrechnung!$C$2="September",9,0)</f>
        <v>0</v>
      </c>
    </row>
    <row r="19" spans="1:14" ht="12.75">
      <c r="A19" s="195" t="s">
        <v>156</v>
      </c>
      <c r="B19" s="198">
        <f>IF(B3=0,0,IF((B7*B16)&gt;B18,B18,B7*B16))</f>
        <v>0</v>
      </c>
      <c r="D19" s="231">
        <f>IF(Gehaltsabrechnung!$I$20="L",Gehaltsabrechnung!$G$20,0)</f>
        <v>0</v>
      </c>
      <c r="E19" s="232"/>
      <c r="G19" s="195" t="s">
        <v>156</v>
      </c>
      <c r="H19" s="198">
        <f>IF(H3=0,0,IF((H7*H16)&gt;H18,H18,H7*H16))</f>
        <v>0</v>
      </c>
      <c r="J19" s="195" t="s">
        <v>156</v>
      </c>
      <c r="K19" s="198">
        <f>IF(K3=0,0,IF((K7*K16)&gt;K18,K18,K7*K16))</f>
        <v>0</v>
      </c>
      <c r="N19">
        <f>IF(Gehaltsabrechnung!$C$2="Oktober",10,0)</f>
        <v>0</v>
      </c>
    </row>
    <row r="20" spans="1:14" ht="12.75">
      <c r="A20" s="195" t="s">
        <v>157</v>
      </c>
      <c r="B20" s="199">
        <f>B7-B9+B10-B19</f>
        <v>2880000</v>
      </c>
      <c r="D20" s="231">
        <f>IF(Gehaltsabrechnung!$I$21="L",Gehaltsabrechnung!$G$21,0)</f>
        <v>0</v>
      </c>
      <c r="E20" s="232"/>
      <c r="G20" s="195" t="s">
        <v>157</v>
      </c>
      <c r="H20" s="199">
        <f>H7-H9+H10-H19</f>
        <v>2880000</v>
      </c>
      <c r="J20" s="195" t="s">
        <v>157</v>
      </c>
      <c r="K20" s="199">
        <f>K7-K9+K10-K19</f>
        <v>2880000</v>
      </c>
      <c r="N20">
        <f>IF(Gehaltsabrechnung!$C$2="November",11,0)</f>
        <v>0</v>
      </c>
    </row>
    <row r="21" spans="1:14" ht="12.75">
      <c r="A21" s="195" t="s">
        <v>158</v>
      </c>
      <c r="B21" s="199">
        <f>B7</f>
        <v>2880000</v>
      </c>
      <c r="D21" s="231">
        <f>IF(Gehaltsabrechnung!$I$22="L",Gehaltsabrechnung!$G$22,0)</f>
        <v>0</v>
      </c>
      <c r="E21" s="232"/>
      <c r="G21" s="195" t="s">
        <v>158</v>
      </c>
      <c r="H21" s="199">
        <f>H7</f>
        <v>2880000</v>
      </c>
      <c r="J21" s="195" t="s">
        <v>158</v>
      </c>
      <c r="K21" s="199">
        <f>K7</f>
        <v>2880000</v>
      </c>
      <c r="M21" s="10"/>
      <c r="N21" s="10">
        <f>IF(Gehaltsabrechnung!$C$2="Dezember",12,0)</f>
        <v>0</v>
      </c>
    </row>
    <row r="22" spans="4:14" ht="12.75">
      <c r="D22" s="231">
        <f>IF(Gehaltsabrechnung!$I$23="L",Gehaltsabrechnung!$G$23,0)</f>
        <v>0</v>
      </c>
      <c r="E22" s="232"/>
      <c r="M22" s="300" t="s">
        <v>265</v>
      </c>
      <c r="N22">
        <f>SUM(N10:N21)</f>
        <v>2</v>
      </c>
    </row>
    <row r="23" spans="1:14" ht="12.75">
      <c r="A23" s="202" t="s">
        <v>159</v>
      </c>
      <c r="B23" s="203"/>
      <c r="D23" s="231">
        <f>IF(Gehaltsabrechnung!$I$24="L",Gehaltsabrechnung!$G$24,0)</f>
        <v>0</v>
      </c>
      <c r="E23" s="232"/>
      <c r="G23" s="202" t="s">
        <v>159</v>
      </c>
      <c r="H23" s="203"/>
      <c r="J23" s="202" t="s">
        <v>159</v>
      </c>
      <c r="K23" s="203"/>
      <c r="M23" t="s">
        <v>266</v>
      </c>
      <c r="N23">
        <f>MONTH(gebdatum)</f>
        <v>1</v>
      </c>
    </row>
    <row r="24" spans="1:11" ht="12.75">
      <c r="A24" s="195" t="s">
        <v>157</v>
      </c>
      <c r="B24" s="198">
        <f>B20/100</f>
        <v>28800</v>
      </c>
      <c r="D24" s="231">
        <f>IF(Gehaltsabrechnung!$I$25="L",Gehaltsabrechnung!$G$25,0)</f>
        <v>0</v>
      </c>
      <c r="E24" s="232"/>
      <c r="G24" s="195" t="s">
        <v>157</v>
      </c>
      <c r="H24" s="198">
        <f>H20/100</f>
        <v>28800</v>
      </c>
      <c r="J24" s="195" t="s">
        <v>157</v>
      </c>
      <c r="K24" s="198">
        <f>K20/100</f>
        <v>28800</v>
      </c>
    </row>
    <row r="25" spans="1:11" ht="12.75">
      <c r="A25" s="195" t="s">
        <v>158</v>
      </c>
      <c r="B25" s="198">
        <f>B21/100</f>
        <v>28800</v>
      </c>
      <c r="D25" s="247">
        <f>SUM(D16:D24)*100</f>
        <v>0</v>
      </c>
      <c r="E25" s="241" t="s">
        <v>228</v>
      </c>
      <c r="G25" s="195" t="s">
        <v>158</v>
      </c>
      <c r="H25" s="198">
        <f>H21/100</f>
        <v>28800</v>
      </c>
      <c r="J25" s="195" t="s">
        <v>158</v>
      </c>
      <c r="K25" s="198">
        <f>K21/100</f>
        <v>28800</v>
      </c>
    </row>
    <row r="26" spans="2:11" ht="12.75">
      <c r="B26" s="206"/>
      <c r="H26" s="206"/>
      <c r="K26" s="206"/>
    </row>
    <row r="27" spans="1:11" ht="12.75">
      <c r="A27" s="202" t="s">
        <v>160</v>
      </c>
      <c r="B27" s="203"/>
      <c r="D27" s="248" t="s">
        <v>202</v>
      </c>
      <c r="E27" s="243"/>
      <c r="G27" s="202" t="s">
        <v>160</v>
      </c>
      <c r="H27" s="203"/>
      <c r="J27" s="202" t="s">
        <v>160</v>
      </c>
      <c r="K27" s="203"/>
    </row>
    <row r="28" spans="1:11" ht="12.75">
      <c r="A28" s="195" t="s">
        <v>161</v>
      </c>
      <c r="B28" s="195">
        <f>IF(B8=3,2,1)</f>
        <v>1</v>
      </c>
      <c r="D28" s="231">
        <f>IF(Gehaltsabrechnung!$I$17="EgV",Gehaltsabrechnung!$G$17,0)</f>
        <v>0</v>
      </c>
      <c r="E28" s="232"/>
      <c r="G28" s="195" t="s">
        <v>161</v>
      </c>
      <c r="H28" s="195">
        <f>IF(H8=3,2,1)</f>
        <v>1</v>
      </c>
      <c r="J28" s="195" t="s">
        <v>161</v>
      </c>
      <c r="K28" s="195">
        <f>IF(K8=3,2,1)</f>
        <v>1</v>
      </c>
    </row>
    <row r="29" spans="1:11" ht="12.75">
      <c r="A29" s="195" t="s">
        <v>162</v>
      </c>
      <c r="B29" s="195">
        <f>IF(B8&gt;5,0,920)</f>
        <v>0</v>
      </c>
      <c r="D29" s="231">
        <f>IF(Gehaltsabrechnung!$I$18="EgV",Gehaltsabrechnung!$G$18,0)</f>
        <v>0</v>
      </c>
      <c r="E29" s="232"/>
      <c r="G29" s="195" t="s">
        <v>162</v>
      </c>
      <c r="H29" s="195">
        <f>IF(H8&gt;5,0,920)</f>
        <v>0</v>
      </c>
      <c r="J29" s="195" t="s">
        <v>162</v>
      </c>
      <c r="K29" s="195">
        <f>IF(K8&gt;5,0,920)</f>
        <v>0</v>
      </c>
    </row>
    <row r="30" spans="1:11" ht="12.75">
      <c r="A30" s="195" t="s">
        <v>163</v>
      </c>
      <c r="B30" s="195">
        <f>IF(B8=2,1308,0)</f>
        <v>0</v>
      </c>
      <c r="D30" s="231">
        <f>IF(Gehaltsabrechnung!$I$19="L",Gehaltsabrechnung!$G$19,0)</f>
        <v>0</v>
      </c>
      <c r="E30" s="232"/>
      <c r="G30" s="195" t="s">
        <v>163</v>
      </c>
      <c r="H30" s="195">
        <f>IF(H8=2,1308,0)</f>
        <v>0</v>
      </c>
      <c r="J30" s="195" t="s">
        <v>163</v>
      </c>
      <c r="K30" s="195">
        <f>IF(K8=2,1308,0)</f>
        <v>0</v>
      </c>
    </row>
    <row r="31" spans="1:11" ht="12.75">
      <c r="A31" s="195" t="s">
        <v>164</v>
      </c>
      <c r="B31" s="195">
        <f>IF(B8&gt;5,0,36)</f>
        <v>0</v>
      </c>
      <c r="D31" s="231">
        <f>IF(Gehaltsabrechnung!$I$20="EgV",Gehaltsabrechnung!$G$20,0)</f>
        <v>0</v>
      </c>
      <c r="E31" s="232"/>
      <c r="G31" s="195" t="s">
        <v>164</v>
      </c>
      <c r="H31" s="195">
        <f>IF(H8&gt;5,0,36)</f>
        <v>0</v>
      </c>
      <c r="J31" s="195" t="s">
        <v>164</v>
      </c>
      <c r="K31" s="195">
        <f>IF(K8&gt;5,0,36)</f>
        <v>0</v>
      </c>
    </row>
    <row r="32" spans="1:11" ht="12.75">
      <c r="A32" s="195" t="s">
        <v>165</v>
      </c>
      <c r="B32" s="195">
        <f>IF(B8&lt;4,B4*7008,IF(B8=4,B4*3504,0))</f>
        <v>0</v>
      </c>
      <c r="D32" s="231">
        <f>IF(Gehaltsabrechnung!$I$21="EgV",Gehaltsabrechnung!$G$21,0)</f>
        <v>0</v>
      </c>
      <c r="E32" s="232"/>
      <c r="G32" s="195" t="s">
        <v>165</v>
      </c>
      <c r="H32" s="195">
        <f>IF(H8&lt;4,H4*7008,IF(H8=4,H4*3504,0))</f>
        <v>0</v>
      </c>
      <c r="J32" s="195" t="s">
        <v>165</v>
      </c>
      <c r="K32" s="195">
        <f>IF(K8&lt;4,K4*7008,IF(K8=4,K4*3504,0))</f>
        <v>0</v>
      </c>
    </row>
    <row r="33" spans="1:11" ht="12.75">
      <c r="A33" s="195" t="s">
        <v>166</v>
      </c>
      <c r="B33" s="195">
        <f>IF(B8=6,0,B29+B30+B31)</f>
        <v>0</v>
      </c>
      <c r="D33" s="231">
        <f>IF(Gehaltsabrechnung!$I$22="EgV",Gehaltsabrechnung!$G$22,0)</f>
        <v>0</v>
      </c>
      <c r="E33" s="232"/>
      <c r="G33" s="195" t="s">
        <v>166</v>
      </c>
      <c r="H33" s="195">
        <f>IF(H8=6,0,H29+H30+H31)</f>
        <v>0</v>
      </c>
      <c r="J33" s="195" t="s">
        <v>166</v>
      </c>
      <c r="K33" s="195">
        <f>IF(K8=6,0,K29+K30+K31)</f>
        <v>0</v>
      </c>
    </row>
    <row r="34" spans="4:5" ht="12.75">
      <c r="D34" s="231">
        <f>IF(Gehaltsabrechnung!$I$23="EgV",Gehaltsabrechnung!$G$23,0)</f>
        <v>0</v>
      </c>
      <c r="E34" s="232"/>
    </row>
    <row r="35" spans="1:11" ht="12.75">
      <c r="A35" s="202" t="s">
        <v>167</v>
      </c>
      <c r="B35" s="207"/>
      <c r="D35" s="231">
        <f>IF(Gehaltsabrechnung!$I$24="EgV",Gehaltsabrechnung!$G$24,0)</f>
        <v>0</v>
      </c>
      <c r="E35" s="232"/>
      <c r="G35" s="202" t="s">
        <v>167</v>
      </c>
      <c r="H35" s="207"/>
      <c r="J35" s="202" t="s">
        <v>167</v>
      </c>
      <c r="K35" s="207"/>
    </row>
    <row r="36" spans="1:11" ht="12.75">
      <c r="A36" s="195" t="s">
        <v>158</v>
      </c>
      <c r="B36" s="206">
        <f>MIN(B11,B25)</f>
        <v>28800</v>
      </c>
      <c r="D36" s="231">
        <f>IF(Gehaltsabrechnung!$I$25="EgV",Gehaltsabrechnung!$G$25,0)</f>
        <v>0</v>
      </c>
      <c r="E36" s="232"/>
      <c r="G36" s="195" t="s">
        <v>158</v>
      </c>
      <c r="H36" s="206">
        <f>MIN(H11,H25)</f>
        <v>28800</v>
      </c>
      <c r="J36" s="195" t="s">
        <v>158</v>
      </c>
      <c r="K36" s="206">
        <f>MIN(K11,K25)</f>
        <v>28800</v>
      </c>
    </row>
    <row r="37" spans="1:11" ht="12.75">
      <c r="A37" s="195" t="s">
        <v>168</v>
      </c>
      <c r="B37" s="206">
        <f>IF(B6=1,0,ROUNDDOWN(0.44*B36*0.0995,2))</f>
        <v>1260.86</v>
      </c>
      <c r="D37" s="247">
        <f>SUM(D28:D36)*100</f>
        <v>0</v>
      </c>
      <c r="E37" s="241" t="s">
        <v>228</v>
      </c>
      <c r="G37" s="195" t="s">
        <v>168</v>
      </c>
      <c r="H37" s="206">
        <f>IF(H6=1,0,ROUNDDOWN(0.44*H36*0.0995,2))</f>
        <v>1260.86</v>
      </c>
      <c r="J37" s="195" t="s">
        <v>168</v>
      </c>
      <c r="K37" s="206">
        <f>IF(K6=1,0,ROUNDDOWN(0.44*K36*0.0995,2))</f>
        <v>1260.86</v>
      </c>
    </row>
    <row r="38" spans="1:11" ht="12.75">
      <c r="A38" s="204" t="s">
        <v>169</v>
      </c>
      <c r="B38" s="206">
        <f>IF(B28=1,1900,3000)</f>
        <v>1900</v>
      </c>
      <c r="G38" s="204" t="s">
        <v>169</v>
      </c>
      <c r="H38" s="206">
        <f>IF(H28=1,1900,3000)</f>
        <v>1900</v>
      </c>
      <c r="J38" s="204" t="s">
        <v>169</v>
      </c>
      <c r="K38" s="206">
        <f>IF(K28=1,1900,3000)</f>
        <v>1900</v>
      </c>
    </row>
    <row r="39" spans="1:11" ht="12.75">
      <c r="A39" s="204" t="s">
        <v>170</v>
      </c>
      <c r="B39" s="206">
        <f>MIN(B38,ROUNDDOWN(0.12*B36,2))</f>
        <v>1900</v>
      </c>
      <c r="D39" s="248" t="s">
        <v>203</v>
      </c>
      <c r="E39" s="243"/>
      <c r="G39" s="204" t="s">
        <v>170</v>
      </c>
      <c r="H39" s="206">
        <f>MIN(H38,ROUNDDOWN(0.12*H36,2))</f>
        <v>1900</v>
      </c>
      <c r="J39" s="204" t="s">
        <v>170</v>
      </c>
      <c r="K39" s="206">
        <f>MIN(K38,ROUNDDOWN(0.12*K36,2))</f>
        <v>1900</v>
      </c>
    </row>
    <row r="40" spans="1:11" ht="12.75">
      <c r="A40" s="204" t="s">
        <v>171</v>
      </c>
      <c r="B40" s="208">
        <f>IF(Stammdaten!$C17=0,0,0.079+B13)</f>
        <v>0.09125</v>
      </c>
      <c r="D40" s="231">
        <f>IF(Gehaltsabrechnung!$I$17="LgV",Gehaltsabrechnung!$G$17,0)</f>
        <v>0</v>
      </c>
      <c r="E40" s="232"/>
      <c r="G40" s="204" t="s">
        <v>171</v>
      </c>
      <c r="H40" s="208">
        <f>IF(Stammdaten!$C17=0,0,0.079+H13)</f>
        <v>0.09125</v>
      </c>
      <c r="J40" s="204" t="s">
        <v>171</v>
      </c>
      <c r="K40" s="208">
        <f>IF(Stammdaten!$C17=0,0,0.079+K13)</f>
        <v>0.09125</v>
      </c>
    </row>
    <row r="41" spans="1:11" ht="12.75">
      <c r="A41" s="204" t="s">
        <v>172</v>
      </c>
      <c r="B41" s="206">
        <f>IF(B12&gt;0,B12,MIN(B25,44550)*B40)</f>
        <v>2628</v>
      </c>
      <c r="D41" s="231">
        <f>IF(Gehaltsabrechnung!$I$18="LgV",Gehaltsabrechnung!$G$18,0)</f>
        <v>0</v>
      </c>
      <c r="E41" s="232"/>
      <c r="G41" s="204" t="s">
        <v>172</v>
      </c>
      <c r="H41" s="206">
        <f>IF(H12&gt;0,H12,MIN(H25,44550)*H40)</f>
        <v>2628</v>
      </c>
      <c r="J41" s="204" t="s">
        <v>172</v>
      </c>
      <c r="K41" s="206">
        <f>IF(K12&gt;0,K12,MIN(K25,44550)*K40)</f>
        <v>2628</v>
      </c>
    </row>
    <row r="42" spans="1:11" ht="12.75">
      <c r="A42" s="204" t="s">
        <v>173</v>
      </c>
      <c r="B42" s="206">
        <f>IF(B41&gt;B38,B41,B39)</f>
        <v>2628</v>
      </c>
      <c r="D42" s="231">
        <f>IF(Gehaltsabrechnung!$I$19="LgV",Gehaltsabrechnung!$G$19,0)</f>
        <v>0</v>
      </c>
      <c r="E42" s="232"/>
      <c r="G42" s="204" t="s">
        <v>173</v>
      </c>
      <c r="H42" s="206">
        <f>IF(H41&gt;H38,H41,H39)</f>
        <v>2628</v>
      </c>
      <c r="J42" s="204" t="s">
        <v>173</v>
      </c>
      <c r="K42" s="206">
        <f>IF(K41&gt;K38,K41,K39)</f>
        <v>2628</v>
      </c>
    </row>
    <row r="43" spans="1:11" ht="12.75">
      <c r="A43" s="204" t="s">
        <v>174</v>
      </c>
      <c r="B43" s="206">
        <f>ROUNDUP(B37+B42,0)</f>
        <v>3889</v>
      </c>
      <c r="D43" s="231">
        <f>IF(Gehaltsabrechnung!$I$20="LgV",Gehaltsabrechnung!$G$20,0)</f>
        <v>0</v>
      </c>
      <c r="E43" s="232"/>
      <c r="G43" s="204" t="s">
        <v>174</v>
      </c>
      <c r="H43" s="206">
        <f>ROUNDUP(H37+H42,0)</f>
        <v>3889</v>
      </c>
      <c r="J43" s="204" t="s">
        <v>174</v>
      </c>
      <c r="K43" s="206">
        <f>ROUNDUP(K37+K42,0)</f>
        <v>3889</v>
      </c>
    </row>
    <row r="44" spans="1:11" ht="12.75">
      <c r="A44" s="204"/>
      <c r="B44" s="206"/>
      <c r="D44" s="231">
        <f>IF(Gehaltsabrechnung!$I$21="LgV",Gehaltsabrechnung!$G$21,0)</f>
        <v>0</v>
      </c>
      <c r="E44" s="232"/>
      <c r="G44" s="204"/>
      <c r="H44" s="206"/>
      <c r="J44" s="204"/>
      <c r="K44" s="206"/>
    </row>
    <row r="45" spans="1:11" ht="12.75">
      <c r="A45" s="202" t="s">
        <v>175</v>
      </c>
      <c r="B45" s="203"/>
      <c r="D45" s="231">
        <f>IF(Gehaltsabrechnung!$I$22="LgV",Gehaltsabrechnung!$G$22,0)</f>
        <v>0</v>
      </c>
      <c r="E45" s="232"/>
      <c r="G45" s="202" t="s">
        <v>175</v>
      </c>
      <c r="H45" s="203"/>
      <c r="J45" s="202" t="s">
        <v>175</v>
      </c>
      <c r="K45" s="203"/>
    </row>
    <row r="46" spans="1:11" ht="12.75">
      <c r="A46" s="195" t="s">
        <v>176</v>
      </c>
      <c r="B46" s="198">
        <f>ROUNDDOWN(B24-B33-B43,0)</f>
        <v>24911</v>
      </c>
      <c r="D46" s="231">
        <f>IF(Gehaltsabrechnung!$I$23="LgV",Gehaltsabrechnung!$G$23,0)</f>
        <v>0</v>
      </c>
      <c r="E46" s="232"/>
      <c r="G46" s="195" t="s">
        <v>176</v>
      </c>
      <c r="H46" s="198">
        <f>ROUNDDOWN(H24-H33-H43,0)</f>
        <v>24911</v>
      </c>
      <c r="J46" s="195" t="s">
        <v>176</v>
      </c>
      <c r="K46" s="198">
        <f>ROUNDDOWN(K24-K33-K43,0)</f>
        <v>24911</v>
      </c>
    </row>
    <row r="47" spans="1:11" ht="12.75">
      <c r="A47" s="195" t="s">
        <v>177</v>
      </c>
      <c r="B47" s="198">
        <f>MAX(0,ROUNDDOWN(B46/B28,0))</f>
        <v>24911</v>
      </c>
      <c r="D47" s="231">
        <f>IF(Gehaltsabrechnung!$I$24="LgV",Gehaltsabrechnung!$G$24,0)</f>
        <v>0</v>
      </c>
      <c r="E47" s="232"/>
      <c r="G47" s="195" t="s">
        <v>177</v>
      </c>
      <c r="H47" s="198">
        <f>MAX(0,ROUNDDOWN(H46/H28,0))</f>
        <v>24911</v>
      </c>
      <c r="J47" s="195" t="s">
        <v>177</v>
      </c>
      <c r="K47" s="198">
        <f>MAX(0,ROUNDDOWN(K46/K28,0))</f>
        <v>24911</v>
      </c>
    </row>
    <row r="48" spans="4:5" ht="12.75">
      <c r="D48" s="231">
        <f>IF(Gehaltsabrechnung!$I$25="LgV",Gehaltsabrechnung!$G$25,0)</f>
        <v>0</v>
      </c>
      <c r="E48" s="232"/>
    </row>
    <row r="49" spans="1:11" ht="12.75">
      <c r="A49" s="202" t="s">
        <v>178</v>
      </c>
      <c r="B49" s="203"/>
      <c r="D49" s="247">
        <f>SUM(D40:D48)*100</f>
        <v>0</v>
      </c>
      <c r="E49" s="241" t="s">
        <v>228</v>
      </c>
      <c r="G49" s="202" t="s">
        <v>178</v>
      </c>
      <c r="H49" s="203"/>
      <c r="J49" s="202" t="s">
        <v>178</v>
      </c>
      <c r="K49" s="203"/>
    </row>
    <row r="50" spans="1:11" ht="12.75">
      <c r="A50" s="195" t="s">
        <v>179</v>
      </c>
      <c r="B50" s="195">
        <f>IF(B47&lt;8004,0,IF(B47&lt;13470,INT((912.17*(B47-8004)/10000+1400)*(B47-8004)/10000),IF(B47&lt;52882,INT((228.74*(B47-13469)/10000+2397)*(B47-13469)/10000+1038),IF(B47&lt;250731,INT(B47*0.42-8172),INT(B47*0.45-15694)))))*B28</f>
        <v>4080</v>
      </c>
      <c r="D50" t="s">
        <v>218</v>
      </c>
      <c r="E50">
        <f>SUM(D49+D25)</f>
        <v>0</v>
      </c>
      <c r="G50" s="195" t="s">
        <v>179</v>
      </c>
      <c r="H50" s="195">
        <f>IF(H47&lt;8004,0,IF(H47&lt;13470,INT((912.17*(H47-8004)/10000+1400)*(H47-8004)/10000),IF(H47&lt;52882,INT((228.74*(H47-13469)/10000+2397)*(H47-13469)/10000+1038),IF(H47&lt;250731,INT(H47*0.42-8172),INT(H47*0.45-15694)))))*H28</f>
        <v>4080</v>
      </c>
      <c r="J50" s="195" t="s">
        <v>179</v>
      </c>
      <c r="K50" s="195">
        <f>IF(K47&lt;8004,0,IF(K47&lt;13470,INT((912.17*(K47-8004)/10000+1400)*(K47-8004)/10000),IF(K47&lt;52882,INT((228.74*(K47-13469)/10000+2397)*(K47-13469)/10000+1038),IF(K47&lt;250731,INT(K47*0.42-8172),INT(K47*0.45-15694)))))*K28</f>
        <v>4080</v>
      </c>
    </row>
    <row r="51" spans="1:15" ht="12.75">
      <c r="A51" s="209"/>
      <c r="G51" s="209"/>
      <c r="J51" s="209"/>
      <c r="O51" s="212"/>
    </row>
    <row r="52" spans="1:11" ht="12.75">
      <c r="A52" s="202" t="s">
        <v>180</v>
      </c>
      <c r="B52" s="203"/>
      <c r="D52" s="229" t="s">
        <v>204</v>
      </c>
      <c r="E52" s="230"/>
      <c r="G52" s="202" t="s">
        <v>180</v>
      </c>
      <c r="H52" s="203"/>
      <c r="J52" s="202" t="s">
        <v>180</v>
      </c>
      <c r="K52" s="203"/>
    </row>
    <row r="53" spans="2:11" ht="12.75">
      <c r="B53" s="198"/>
      <c r="D53" s="231"/>
      <c r="E53" s="232"/>
      <c r="H53" s="198"/>
      <c r="K53" s="198"/>
    </row>
    <row r="54" spans="1:11" ht="12.75">
      <c r="A54" s="195" t="s">
        <v>181</v>
      </c>
      <c r="B54" s="198">
        <f>MIN(26441,B47)*1.25</f>
        <v>31138.75</v>
      </c>
      <c r="D54" s="233" t="s">
        <v>205</v>
      </c>
      <c r="E54" s="234">
        <f>B11/12</f>
        <v>5500</v>
      </c>
      <c r="G54" s="195" t="s">
        <v>181</v>
      </c>
      <c r="H54" s="198">
        <f>MIN(26441,H47)*1.25</f>
        <v>31138.75</v>
      </c>
      <c r="J54" s="195" t="s">
        <v>181</v>
      </c>
      <c r="K54" s="198">
        <f>MIN(26441,K47)*1.25</f>
        <v>31138.75</v>
      </c>
    </row>
    <row r="55" spans="1:11" ht="12.75">
      <c r="A55" s="195" t="s">
        <v>182</v>
      </c>
      <c r="B55" s="195">
        <f>IF(B54&lt;8004,0,IF(B54&lt;13470,INT((912.17*(B54-8004)/10000+1400)*(B54-8004)/10000),IF(B54&lt;52882,INT((228.74*(B54-13469)/10000+2397)*(B54-13469)/10000+1038),IF(B54&lt;250731,INT(B54*0.42-8172),INT(B54*0.45-15694)))))</f>
        <v>5987</v>
      </c>
      <c r="D55" s="233" t="s">
        <v>206</v>
      </c>
      <c r="E55" s="234">
        <f>IF(OR(AND($B$3&gt;0,$B$3&lt;7),AND($B$3,$N$22&gt;$N$23)),0,ROUND(IF(Stammdaten!$C$14=1,MIN(Gehaltsabrechnung!$G$26,E54)*0.0995,0),2))</f>
        <v>238.8</v>
      </c>
      <c r="G55" s="195" t="s">
        <v>182</v>
      </c>
      <c r="H55" s="195">
        <f>IF(H54&lt;8004,0,IF(H54&lt;13470,INT((912.17*(H54-8004)/10000+1400)*(H54-8004)/10000),IF(H54&lt;52882,INT((228.74*(H54-13469)/10000+2397)*(H54-13469)/10000+1038),IF(H54&lt;250731,INT(H54*0.42-8172),INT(H54*0.45-15694)))))</f>
        <v>5987</v>
      </c>
      <c r="J55" s="195" t="s">
        <v>182</v>
      </c>
      <c r="K55" s="195">
        <f>IF(K54&lt;8004,0,IF(K54&lt;13470,INT((912.17*(K54-8004)/10000+1400)*(K54-8004)/10000),IF(K54&lt;52882,INT((228.74*(K54-13469)/10000+2397)*(K54-13469)/10000+1038),IF(K54&lt;250731,INT(K54*0.42-8172),INT(K54*0.45-15694)))))</f>
        <v>5987</v>
      </c>
    </row>
    <row r="56" spans="1:11" ht="12.75">
      <c r="A56" s="195" t="s">
        <v>181</v>
      </c>
      <c r="B56" s="198">
        <f>MIN(26441,B47)*0.75</f>
        <v>18683.25</v>
      </c>
      <c r="D56" s="233" t="s">
        <v>207</v>
      </c>
      <c r="E56" s="234">
        <f>IF(OR(AND($B$3&gt;0,$B$3&lt;7),AND($B$3=7,$N$22&gt;$N$23)),0,ROUND(IF(Stammdaten!$C$14=1,MIN(Gehaltsabrechnung!$G$26,E54)*0.015,0),2))</f>
        <v>36</v>
      </c>
      <c r="G56" s="195" t="s">
        <v>181</v>
      </c>
      <c r="H56" s="198">
        <f>MIN(26441,H47)*0.75</f>
        <v>18683.25</v>
      </c>
      <c r="J56" s="195" t="s">
        <v>181</v>
      </c>
      <c r="K56" s="198">
        <f>MIN(26441,K47)*0.75</f>
        <v>18683.25</v>
      </c>
    </row>
    <row r="57" spans="1:11" ht="12.75">
      <c r="A57" s="195" t="s">
        <v>183</v>
      </c>
      <c r="B57" s="195">
        <f>IF(B56&lt;8004,0,IF(B56&lt;13470,INT((912.17*(B56-8004)/10000+1400)*(B56-8004)/10000),IF(B56&lt;52882,INT((228.74*(B56-13469)/10000+2397)*(B56-13469)/10000+1038),IF(B56&lt;250731,INT(B56*0.42-8172),INT(B56*0.45-15694)))))</f>
        <v>2350</v>
      </c>
      <c r="D57" s="233" t="s">
        <v>208</v>
      </c>
      <c r="E57" s="234">
        <f>ROUND(IF(Stammdaten!$C$17&gt;20,0,MIN(Gehaltsabrechnung!$G$26,3712.5)*0.082),2)</f>
        <v>196.8</v>
      </c>
      <c r="G57" s="195" t="s">
        <v>183</v>
      </c>
      <c r="H57" s="195">
        <f>IF(H56&lt;8004,0,IF(H56&lt;13470,INT((912.17*(H56-8004)/10000+1400)*(H56-8004)/10000),IF(H56&lt;52882,INT((228.74*(H56-13469)/10000+2397)*(H56-13469)/10000+1038),IF(H56&lt;250731,INT(H56*0.42-8172),INT(H56*0.45-15694)))))</f>
        <v>2350</v>
      </c>
      <c r="J57" s="195" t="s">
        <v>183</v>
      </c>
      <c r="K57" s="195">
        <f>IF(K56&lt;8004,0,IF(K56&lt;13470,INT((912.17*(K56-8004)/10000+1400)*(K56-8004)/10000),IF(K56&lt;52882,INT((228.74*(K56-13469)/10000+2397)*(K56-13469)/10000+1038),IF(K56&lt;250731,INT(K56*0.42-8172),INT(K56*0.45-15694)))))</f>
        <v>2350</v>
      </c>
    </row>
    <row r="58" spans="1:11" ht="12.75">
      <c r="A58" s="195" t="s">
        <v>184</v>
      </c>
      <c r="B58" s="198">
        <f>(B55-B57)*2</f>
        <v>7274</v>
      </c>
      <c r="D58" s="233" t="s">
        <v>209</v>
      </c>
      <c r="E58" s="234">
        <f>IF(Stammdaten!$C$17&gt;20,0,ROUND(MIN(Gehaltsabrechnung!$G$26,3712.5)*(IF(Stammdaten!C22=1,0.01475,0.00975)+IF(Stammdaten!C20=1,0.0025,0)),4))</f>
        <v>29.4</v>
      </c>
      <c r="G58" s="195" t="s">
        <v>184</v>
      </c>
      <c r="H58" s="198">
        <f>(H55-H57)*2</f>
        <v>7274</v>
      </c>
      <c r="J58" s="195" t="s">
        <v>184</v>
      </c>
      <c r="K58" s="198">
        <f>(K55-K57)*2</f>
        <v>7274</v>
      </c>
    </row>
    <row r="59" spans="1:11" ht="12.75">
      <c r="A59" s="195" t="s">
        <v>185</v>
      </c>
      <c r="B59" s="195">
        <f>ROUNDDOWN(MIN(B47,26441)*0.14,0)</f>
        <v>3487</v>
      </c>
      <c r="D59" s="235"/>
      <c r="E59" s="234"/>
      <c r="G59" s="195" t="s">
        <v>185</v>
      </c>
      <c r="H59" s="195">
        <f>ROUNDDOWN(MIN(H47,26441)*0.14,0)</f>
        <v>3487</v>
      </c>
      <c r="J59" s="195" t="s">
        <v>185</v>
      </c>
      <c r="K59" s="195">
        <f>ROUNDDOWN(MIN(K47,26441)*0.14,0)</f>
        <v>3487</v>
      </c>
    </row>
    <row r="60" spans="1:11" ht="12.75">
      <c r="A60" s="195" t="s">
        <v>179</v>
      </c>
      <c r="B60" s="198">
        <f>MAX(B58,B59)</f>
        <v>7274</v>
      </c>
      <c r="D60" s="233" t="s">
        <v>210</v>
      </c>
      <c r="E60" s="234">
        <f>ROUND(IF(Stammdaten!$C$14=1,MIN(Gehaltsabrechnung!$G$26,$E$54)*0.0995,0),2)</f>
        <v>238.8</v>
      </c>
      <c r="G60" s="195" t="s">
        <v>179</v>
      </c>
      <c r="H60" s="198">
        <f>MAX(H58,H59)</f>
        <v>7274</v>
      </c>
      <c r="J60" s="195" t="s">
        <v>179</v>
      </c>
      <c r="K60" s="198">
        <f>MAX(K58,K59)</f>
        <v>7274</v>
      </c>
    </row>
    <row r="61" spans="1:11" ht="12.75">
      <c r="A61" s="195" t="s">
        <v>179</v>
      </c>
      <c r="B61" s="198">
        <f>IF(B47&gt;200584,(200584-26441)*0.42+B60,ROUNDDOWN(MAX(B47-26441,0)*0.42+B60,0))</f>
        <v>7274</v>
      </c>
      <c r="D61" s="233" t="s">
        <v>211</v>
      </c>
      <c r="E61" s="234">
        <f>ROUND(IF(Stammdaten!$C$15=1,MIN(Gehaltsabrechnung!$G$26,$E$54)*0.015,0),2)</f>
        <v>36</v>
      </c>
      <c r="G61" s="195" t="s">
        <v>179</v>
      </c>
      <c r="H61" s="198">
        <f>IF(H47&gt;200584,(200584-26441)*0.42+H60,ROUNDDOWN(MAX(H47-26441,0)*0.42+H60,0))</f>
        <v>7274</v>
      </c>
      <c r="J61" s="195" t="s">
        <v>179</v>
      </c>
      <c r="K61" s="198">
        <f>IF(K47&gt;200584,(200584-26441)*0.42+K60,ROUNDDOWN(MAX(K47-26441,0)*0.42+K60,0))</f>
        <v>7274</v>
      </c>
    </row>
    <row r="62" spans="1:11" ht="12.75">
      <c r="A62" s="195" t="s">
        <v>186</v>
      </c>
      <c r="B62" s="195">
        <f>IF(AND(B47&gt;9429,B47&lt;=26441),B60,0)</f>
        <v>7274</v>
      </c>
      <c r="D62" s="233" t="s">
        <v>212</v>
      </c>
      <c r="E62" s="234">
        <f>IF(Stammdaten!$C$17&gt;20,IF(Stammdaten!$C$19=0,0,Stammdaten!$C$17/2),MIN(Gehaltsabrechnung!$G$26,3712.5)*0.073)</f>
        <v>175.2</v>
      </c>
      <c r="G62" s="195" t="s">
        <v>186</v>
      </c>
      <c r="H62" s="195">
        <f>IF(AND(H47&gt;9429,H47&lt;=26441),H60,0)</f>
        <v>7274</v>
      </c>
      <c r="J62" s="195" t="s">
        <v>186</v>
      </c>
      <c r="K62" s="195">
        <f>IF(AND(K47&gt;9429,K47&lt;=26441),K60,0)</f>
        <v>7274</v>
      </c>
    </row>
    <row r="63" spans="1:11" ht="12.75">
      <c r="A63" s="195" t="s">
        <v>179</v>
      </c>
      <c r="B63" s="198">
        <f>1320</f>
        <v>1320</v>
      </c>
      <c r="D63" s="233" t="s">
        <v>254</v>
      </c>
      <c r="E63" s="234">
        <f>IF(Stammdaten!$C$17&gt;20,0,ROUND(MIN(Gehaltsabrechnung!$G$26,3712.5)*(IF(Stammdaten!$C$22=1,0.00475,0.00975)),4))</f>
        <v>23.4</v>
      </c>
      <c r="G63" s="195" t="s">
        <v>179</v>
      </c>
      <c r="H63" s="198">
        <f>1320</f>
        <v>1320</v>
      </c>
      <c r="J63" s="195" t="s">
        <v>179</v>
      </c>
      <c r="K63" s="198">
        <f>1320</f>
        <v>1320</v>
      </c>
    </row>
    <row r="64" spans="1:11" ht="12.75">
      <c r="A64" s="195" t="s">
        <v>179</v>
      </c>
      <c r="B64" s="198">
        <f>MIN(ROUNDDOWN(MAX(B47-9429,0)*0.42+B63,0),B61)</f>
        <v>7274</v>
      </c>
      <c r="D64" s="235"/>
      <c r="E64" s="232"/>
      <c r="G64" s="195" t="s">
        <v>179</v>
      </c>
      <c r="H64" s="198">
        <f>MIN(ROUNDDOWN(MAX(H47-9429,0)*0.42+H63,0),H61)</f>
        <v>7274</v>
      </c>
      <c r="J64" s="195" t="s">
        <v>179</v>
      </c>
      <c r="K64" s="198">
        <f>MIN(ROUNDDOWN(MAX(K47-9429,0)*0.42+K63,0),K61)</f>
        <v>7274</v>
      </c>
    </row>
    <row r="65" spans="1:11" ht="12.75">
      <c r="A65" s="195" t="s">
        <v>187</v>
      </c>
      <c r="B65" s="198">
        <f>ROUNDDOWN(MAX(B47-200584,0)*0.45+B64,0)</f>
        <v>7274</v>
      </c>
      <c r="D65" s="236" t="s">
        <v>213</v>
      </c>
      <c r="E65" s="237"/>
      <c r="G65" s="195" t="s">
        <v>187</v>
      </c>
      <c r="H65" s="198">
        <f>ROUNDDOWN(MAX(H47-200584,0)*0.45+H64,0)</f>
        <v>7274</v>
      </c>
      <c r="J65" s="195" t="s">
        <v>187</v>
      </c>
      <c r="K65" s="198">
        <f>ROUNDDOWN(MAX(K47-200584,0)*0.45+K64,0)</f>
        <v>7274</v>
      </c>
    </row>
    <row r="66" spans="1:11" ht="12.75">
      <c r="A66" s="195" t="s">
        <v>188</v>
      </c>
      <c r="B66" s="195">
        <f>ROUNDDOWN(IF(B8&lt;5,B50,B65)*B14,0)</f>
        <v>7274</v>
      </c>
      <c r="D66" s="235"/>
      <c r="E66" s="232"/>
      <c r="G66" s="195" t="s">
        <v>188</v>
      </c>
      <c r="H66" s="195">
        <f>ROUNDDOWN(IF(H8&lt;5,H50,H65)*H14,0)</f>
        <v>7274</v>
      </c>
      <c r="J66" s="195" t="s">
        <v>188</v>
      </c>
      <c r="K66" s="195">
        <f>ROUNDDOWN(IF(K8&lt;5,K50,K65)*K14,0)</f>
        <v>7274</v>
      </c>
    </row>
    <row r="67" spans="1:11" ht="12.75">
      <c r="A67" s="195" t="s">
        <v>189</v>
      </c>
      <c r="B67" s="195">
        <f>B66*100</f>
        <v>727400</v>
      </c>
      <c r="D67" s="238" t="s">
        <v>214</v>
      </c>
      <c r="E67" s="232">
        <f>IF(AND(Gehaltsabrechnung!$G$26&gt;400,Gehaltsabrechnung!$G$26&lt;=800,Stammdaten!$C$27=1),ROUND((0.7435*400+(2-0.7435)*(Gehaltsabrechnung!$G$26-400)),2),0)</f>
        <v>0</v>
      </c>
      <c r="G67" s="195" t="s">
        <v>189</v>
      </c>
      <c r="H67" s="195">
        <f>H66*100</f>
        <v>727400</v>
      </c>
      <c r="J67" s="195" t="s">
        <v>189</v>
      </c>
      <c r="K67" s="195">
        <f>K66*100</f>
        <v>727400</v>
      </c>
    </row>
    <row r="68" spans="4:5" ht="12.75">
      <c r="D68" s="233" t="s">
        <v>206</v>
      </c>
      <c r="E68" s="234">
        <f>IF(Stammdaten!$C$14=1,ROUND(E67*0.0995,2)*2-E60,0)</f>
        <v>-238.8</v>
      </c>
    </row>
    <row r="69" spans="1:11" ht="12.75">
      <c r="A69" s="202" t="s">
        <v>190</v>
      </c>
      <c r="B69" s="203"/>
      <c r="D69" s="233" t="s">
        <v>207</v>
      </c>
      <c r="E69" s="234">
        <f>IF(Stammdaten!$C$15=1,ROUND(E67*0.015,2),0)</f>
        <v>0</v>
      </c>
      <c r="G69" s="202" t="s">
        <v>190</v>
      </c>
      <c r="H69" s="203"/>
      <c r="J69" s="202" t="s">
        <v>190</v>
      </c>
      <c r="K69" s="203"/>
    </row>
    <row r="70" spans="4:5" ht="12.75">
      <c r="D70" s="233" t="s">
        <v>208</v>
      </c>
      <c r="E70" s="234">
        <f>IF(Stammdaten!$C$17&gt;20,0,ROUND(E67*0.082,2)+ROUND(E67*0.073,2)-E62)</f>
        <v>-175.2</v>
      </c>
    </row>
    <row r="71" spans="1:11" ht="12.75">
      <c r="A71" s="195" t="s">
        <v>257</v>
      </c>
      <c r="B71" s="195">
        <f>ROUNDDOWN(B67/12,0)+$K$71-$H$71</f>
        <v>60616</v>
      </c>
      <c r="D71" s="233" t="s">
        <v>209</v>
      </c>
      <c r="E71" s="234">
        <f>ROUND(E67*(0.00975+IF(Stammdaten!$C$11=1,0.0025,0)+IF(Stammdaten!$C$22=1,0.005,0)),2)+ROUND(E67*0.00975,2)-E63</f>
        <v>-23.4</v>
      </c>
      <c r="G71" s="195" t="s">
        <v>191</v>
      </c>
      <c r="H71" s="195">
        <f>H67</f>
        <v>727400</v>
      </c>
      <c r="J71" s="195" t="s">
        <v>191</v>
      </c>
      <c r="K71" s="195">
        <f>K67</f>
        <v>727400</v>
      </c>
    </row>
    <row r="72" spans="1:11" ht="12.75">
      <c r="A72" s="195" t="s">
        <v>166</v>
      </c>
      <c r="B72" s="195">
        <f>B32+B33</f>
        <v>0</v>
      </c>
      <c r="D72" s="231"/>
      <c r="E72" s="232"/>
      <c r="G72" s="195" t="s">
        <v>166</v>
      </c>
      <c r="H72" s="195">
        <f>H32+H33</f>
        <v>0</v>
      </c>
      <c r="J72" s="195" t="s">
        <v>166</v>
      </c>
      <c r="K72" s="195">
        <f>K32+K33</f>
        <v>0</v>
      </c>
    </row>
    <row r="73" spans="1:11" ht="12.75">
      <c r="A73" s="195" t="s">
        <v>176</v>
      </c>
      <c r="B73" s="198">
        <f>B24-B43-B72</f>
        <v>24911</v>
      </c>
      <c r="D73" s="239" t="s">
        <v>215</v>
      </c>
      <c r="E73" s="237"/>
      <c r="G73" s="195" t="s">
        <v>176</v>
      </c>
      <c r="H73" s="198">
        <f>H24-H43-H72</f>
        <v>24911</v>
      </c>
      <c r="J73" s="195" t="s">
        <v>176</v>
      </c>
      <c r="K73" s="198">
        <f>K24-K43-K72</f>
        <v>24911</v>
      </c>
    </row>
    <row r="74" spans="1:11" ht="12.75">
      <c r="A74" s="195" t="s">
        <v>192</v>
      </c>
      <c r="B74" s="195">
        <f>IF(B73&lt;36,0,ROUNDDOWN(B73/B28,0))</f>
        <v>24911</v>
      </c>
      <c r="D74" s="231"/>
      <c r="E74" s="232"/>
      <c r="G74" s="195" t="s">
        <v>192</v>
      </c>
      <c r="H74" s="195">
        <f>IF(H73&lt;36,0,ROUNDDOWN(H73/H28,0))</f>
        <v>24911</v>
      </c>
      <c r="J74" s="195" t="s">
        <v>192</v>
      </c>
      <c r="K74" s="195">
        <f>IF(K73&lt;36,0,ROUNDDOWN(K73/K28,0))</f>
        <v>24911</v>
      </c>
    </row>
    <row r="75" spans="1:11" ht="12.75">
      <c r="A75" s="195" t="s">
        <v>179</v>
      </c>
      <c r="B75" s="195">
        <f>IF(B74&lt;8004,0,IF(B74&lt;13470,INT((912.17*(B74-8004)/10000+1400)*(B74-8004)/10000),IF(B74&lt;52882,INT((228.74*(B74-13469)/10000+2397)*(B74-13469)/10000+1038),IF(B74&lt;250731,INT(B74*0.42-8172),INT(B74*0.45-15694)))))*B28</f>
        <v>4080</v>
      </c>
      <c r="D75" s="233" t="s">
        <v>206</v>
      </c>
      <c r="E75" s="232">
        <f>IF($E$67&gt;0,E68,E55)</f>
        <v>238.8</v>
      </c>
      <c r="G75" s="195" t="s">
        <v>179</v>
      </c>
      <c r="H75" s="195">
        <f>IF(H74&lt;8004,0,IF(H74&lt;13470,INT((912.17*(H74-8004)/10000+1400)*(H74-8004)/10000),IF(H74&lt;52882,INT((228.74*(H74-13469)/10000+2397)*(H74-13469)/10000+1038),IF(H74&lt;250731,INT(H74*0.42-8172),INT(H74*0.45-15694)))))*H28</f>
        <v>4080</v>
      </c>
      <c r="J75" s="195" t="s">
        <v>179</v>
      </c>
      <c r="K75" s="195">
        <f>IF(K74&lt;8004,0,IF(K74&lt;13470,INT((912.17*(K74-8004)/10000+1400)*(K74-8004)/10000),IF(K74&lt;52882,INT((228.74*(K74-13469)/10000+2397)*(K74-13469)/10000+1038),IF(K74&lt;250731,INT(K74*0.42-8172),INT(K74*0.45-15694)))))*K28</f>
        <v>4080</v>
      </c>
    </row>
    <row r="76" spans="1:11" ht="12.75">
      <c r="A76" s="195" t="s">
        <v>193</v>
      </c>
      <c r="B76" s="195">
        <f>IF(B4&gt;0,ROUNDDOWN(B75*B14,0),B66)</f>
        <v>7274</v>
      </c>
      <c r="D76" s="233" t="s">
        <v>207</v>
      </c>
      <c r="E76" s="232">
        <f>IF($E$67&gt;0,E69,E56)</f>
        <v>36</v>
      </c>
      <c r="G76" s="195" t="s">
        <v>193</v>
      </c>
      <c r="H76" s="195">
        <f>IF(H4&gt;0,ROUNDDOWN(H75*H14,0),H66)</f>
        <v>7274</v>
      </c>
      <c r="J76" s="195" t="s">
        <v>193</v>
      </c>
      <c r="K76" s="195">
        <f>IF(K4&gt;0,ROUNDDOWN(K75*K14,0),K66)</f>
        <v>7274</v>
      </c>
    </row>
    <row r="77" spans="4:5" ht="12.75">
      <c r="D77" s="233" t="s">
        <v>208</v>
      </c>
      <c r="E77" s="232">
        <f>IF($E$67&gt;0,E70,E57)</f>
        <v>196.8</v>
      </c>
    </row>
    <row r="78" spans="1:11" ht="12.75">
      <c r="A78" s="202" t="s">
        <v>194</v>
      </c>
      <c r="B78" s="203"/>
      <c r="D78" s="240" t="s">
        <v>209</v>
      </c>
      <c r="E78" s="241">
        <f>IF($E$67&gt;0,E71,IF(Stammdaten!$C$17&gt;20,0,E58))</f>
        <v>29.4</v>
      </c>
      <c r="G78" s="202" t="s">
        <v>194</v>
      </c>
      <c r="H78" s="203"/>
      <c r="J78" s="202" t="s">
        <v>194</v>
      </c>
      <c r="K78" s="203"/>
    </row>
    <row r="79" spans="1:11" ht="12.75">
      <c r="A79" s="195" t="s">
        <v>195</v>
      </c>
      <c r="B79" s="195">
        <f>972*B28</f>
        <v>972</v>
      </c>
      <c r="G79" s="195" t="s">
        <v>195</v>
      </c>
      <c r="H79" s="195">
        <f>972*H28</f>
        <v>972</v>
      </c>
      <c r="J79" s="195" t="s">
        <v>195</v>
      </c>
      <c r="K79" s="195">
        <f>972*K28</f>
        <v>972</v>
      </c>
    </row>
    <row r="80" spans="1:11" ht="12.75">
      <c r="A80" s="195" t="s">
        <v>196</v>
      </c>
      <c r="B80" s="206">
        <f>ROUNDDOWN((B76*5.5)/100,2)</f>
        <v>400.07</v>
      </c>
      <c r="D80" s="242" t="s">
        <v>221</v>
      </c>
      <c r="E80" s="243"/>
      <c r="G80" s="195" t="s">
        <v>196</v>
      </c>
      <c r="H80" s="206">
        <f>ROUNDDOWN((H76*5.5)/100,2)</f>
        <v>400.07</v>
      </c>
      <c r="J80" s="195" t="s">
        <v>196</v>
      </c>
      <c r="K80" s="206">
        <f>ROUNDDOWN((K76*5.5)/100,2)</f>
        <v>400.07</v>
      </c>
    </row>
    <row r="81" spans="1:11" ht="12.75">
      <c r="A81" s="195" t="s">
        <v>197</v>
      </c>
      <c r="B81" s="206">
        <f>((B76-B79)*20)/100</f>
        <v>1260.4</v>
      </c>
      <c r="D81" s="231"/>
      <c r="E81" s="232"/>
      <c r="G81" s="195" t="s">
        <v>258</v>
      </c>
      <c r="H81" s="206">
        <f>$K$80-$H$80</f>
        <v>0</v>
      </c>
      <c r="K81" s="206"/>
    </row>
    <row r="82" spans="1:11" ht="12.75">
      <c r="A82" s="195" t="s">
        <v>196</v>
      </c>
      <c r="B82" s="206">
        <f>MIN(B81,B80)</f>
        <v>400.07</v>
      </c>
      <c r="D82" s="231" t="s">
        <v>222</v>
      </c>
      <c r="E82" s="234">
        <f>ROUND(MIN(Gehaltsabrechnung!$G$16+$E$50/100,E54)*Stammdaten!$C$30/100,2)</f>
        <v>79.2</v>
      </c>
      <c r="H82" s="206"/>
      <c r="K82" s="206"/>
    </row>
    <row r="83" spans="1:11" ht="12.75">
      <c r="A83" s="195" t="s">
        <v>189</v>
      </c>
      <c r="B83" s="198">
        <f>B82</f>
        <v>400.07</v>
      </c>
      <c r="D83" s="231" t="s">
        <v>223</v>
      </c>
      <c r="E83" s="232">
        <f>ROUND(MIN(Gehaltsabrechnung!$G$16+$E$50/100,E54)*Stammdaten!$C$31/100,2)</f>
        <v>7.92</v>
      </c>
      <c r="G83" s="202" t="s">
        <v>200</v>
      </c>
      <c r="H83" s="203"/>
      <c r="J83" s="202" t="s">
        <v>200</v>
      </c>
      <c r="K83" s="203"/>
    </row>
    <row r="84" spans="4:11" ht="12.75">
      <c r="D84" s="231" t="s">
        <v>224</v>
      </c>
      <c r="E84" s="232">
        <v>0</v>
      </c>
      <c r="G84" s="195" t="s">
        <v>199</v>
      </c>
      <c r="H84" s="195">
        <f>$H76</f>
        <v>7274</v>
      </c>
      <c r="J84" s="195" t="s">
        <v>199</v>
      </c>
      <c r="K84" s="195">
        <f>$K$76</f>
        <v>7274</v>
      </c>
    </row>
    <row r="85" spans="1:11" ht="12.75">
      <c r="A85" s="202" t="s">
        <v>198</v>
      </c>
      <c r="B85" s="203"/>
      <c r="D85" s="231"/>
      <c r="E85" s="232"/>
      <c r="G85" s="195" t="s">
        <v>200</v>
      </c>
      <c r="H85" s="195">
        <f>H84</f>
        <v>7274</v>
      </c>
      <c r="J85" s="195" t="s">
        <v>200</v>
      </c>
      <c r="K85" s="195">
        <f>K84</f>
        <v>7274</v>
      </c>
    </row>
    <row r="86" spans="1:9" ht="12.75">
      <c r="A86" s="195" t="s">
        <v>199</v>
      </c>
      <c r="B86" s="195">
        <f>ROUNDDOWN(B83/12,2)</f>
        <v>33.33</v>
      </c>
      <c r="D86" s="244" t="s">
        <v>225</v>
      </c>
      <c r="E86" s="245"/>
      <c r="G86" s="195" t="s">
        <v>259</v>
      </c>
      <c r="H86" s="195">
        <f>$K$85-$H$85</f>
        <v>0</v>
      </c>
      <c r="I86" s="259"/>
    </row>
    <row r="87" spans="1:9" ht="12.75">
      <c r="A87" s="204" t="s">
        <v>261</v>
      </c>
      <c r="B87" s="206">
        <f>IF(B76&gt;B79,B86,0)+$H$81</f>
        <v>33.33</v>
      </c>
      <c r="D87" s="231"/>
      <c r="E87" s="232"/>
      <c r="G87" s="195" t="s">
        <v>216</v>
      </c>
      <c r="H87" s="195">
        <f>ROUNDDOWN(Stammdaten!$C$23/100*$H$86,2)</f>
        <v>0</v>
      </c>
      <c r="I87" s="259"/>
    </row>
    <row r="88" spans="1:9" ht="12.75">
      <c r="A88" s="195" t="s">
        <v>189</v>
      </c>
      <c r="B88" s="195">
        <f>B76*100</f>
        <v>727400</v>
      </c>
      <c r="D88" s="231" t="s">
        <v>222</v>
      </c>
      <c r="E88" s="234">
        <f>ROUND(IF(Stammdaten!$C$14=1,$E$67*Stammdaten!$C$30/100,0),2)</f>
        <v>0</v>
      </c>
      <c r="I88" s="259"/>
    </row>
    <row r="89" spans="4:13" ht="12.75">
      <c r="D89" s="231" t="s">
        <v>223</v>
      </c>
      <c r="E89" s="232">
        <f>ROUND(IF(Stammdaten!$C$14=1,$E$67*Stammdaten!$C$31/100,0),2)</f>
        <v>0</v>
      </c>
      <c r="I89" s="259"/>
      <c r="L89" s="259"/>
      <c r="M89" s="259"/>
    </row>
    <row r="90" spans="1:13" ht="12.75">
      <c r="A90" s="202" t="s">
        <v>200</v>
      </c>
      <c r="B90" s="203"/>
      <c r="D90" s="231" t="s">
        <v>224</v>
      </c>
      <c r="E90" s="232">
        <v>0</v>
      </c>
      <c r="G90" s="209"/>
      <c r="I90" s="259"/>
      <c r="J90" s="209"/>
      <c r="L90" s="259"/>
      <c r="M90" s="259"/>
    </row>
    <row r="91" spans="1:13" ht="12.75">
      <c r="A91" s="195" t="s">
        <v>199</v>
      </c>
      <c r="B91" s="195">
        <f>ROUNDDOWN(IF(B5=1,B88,IF(B5=2,B88/12,IF(B5=3,(B88*7)/360,B88/360))),0)</f>
        <v>60616</v>
      </c>
      <c r="D91" s="231"/>
      <c r="E91" s="232"/>
      <c r="I91" s="259"/>
      <c r="L91" s="259"/>
      <c r="M91" s="259"/>
    </row>
    <row r="92" spans="1:13" ht="12.75">
      <c r="A92" s="195" t="s">
        <v>200</v>
      </c>
      <c r="B92" s="195">
        <f>B91+$K$92-$H$92</f>
        <v>60616</v>
      </c>
      <c r="D92" s="246" t="s">
        <v>215</v>
      </c>
      <c r="E92" s="245"/>
      <c r="I92" s="259"/>
      <c r="L92" s="259"/>
      <c r="M92" s="259"/>
    </row>
    <row r="93" spans="1:5" ht="12.75">
      <c r="A93" s="204" t="s">
        <v>260</v>
      </c>
      <c r="B93" s="195">
        <f>ROUNDDOWN(Stammdaten!$C$23/100*B92/100,2)+$H$87</f>
        <v>54.55</v>
      </c>
      <c r="D93" s="231"/>
      <c r="E93" s="232"/>
    </row>
    <row r="94" spans="4:5" ht="12.75">
      <c r="D94" s="231" t="s">
        <v>222</v>
      </c>
      <c r="E94" s="232">
        <f>IF($E$67&gt;0,$E$88,$E$82)</f>
        <v>79.2</v>
      </c>
    </row>
    <row r="95" spans="4:5" ht="12.75">
      <c r="D95" s="231" t="s">
        <v>223</v>
      </c>
      <c r="E95" s="232">
        <f>IF($E$67&gt;0,$E$89,$E$83)</f>
        <v>7.92</v>
      </c>
    </row>
    <row r="96" spans="4:5" ht="12.75">
      <c r="D96" s="247" t="s">
        <v>224</v>
      </c>
      <c r="E96" s="241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42"/>
  <sheetViews>
    <sheetView zoomScalePageLayoutView="0" workbookViewId="0" topLeftCell="A1">
      <selection activeCell="C2" sqref="C2"/>
    </sheetView>
  </sheetViews>
  <sheetFormatPr defaultColWidth="0" defaultRowHeight="12.75"/>
  <cols>
    <col min="1" max="1" width="2.8515625" style="0" customWidth="1"/>
    <col min="2" max="2" width="19.421875" style="0" customWidth="1"/>
    <col min="3" max="3" width="9.140625" style="0" customWidth="1"/>
    <col min="4" max="15" width="10.8515625" style="0" customWidth="1"/>
    <col min="16" max="16" width="11.421875" style="0" customWidth="1"/>
    <col min="17" max="16384" width="0" style="0" hidden="1" customWidth="1"/>
  </cols>
  <sheetData>
    <row r="2" spans="2:15" ht="12.75">
      <c r="B2" s="46" t="s">
        <v>52</v>
      </c>
      <c r="C2" s="47">
        <f>gewJahr</f>
        <v>2011</v>
      </c>
      <c r="D2" s="10" t="str">
        <f>Stammdaten!B6&amp;", "&amp;Stammdaten!$B$7&amp;", "&amp;Stammdaten!$B$8</f>
        <v>Mustermann, Hans, Hauptstrasse 23, 10062 Berlin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4" ht="4.5" customHeight="1"/>
    <row r="5" spans="3:15" ht="12.75">
      <c r="C5" s="50" t="s">
        <v>12</v>
      </c>
      <c r="D5" s="48" t="s">
        <v>13</v>
      </c>
      <c r="E5" s="48" t="s">
        <v>76</v>
      </c>
      <c r="F5" s="48" t="s">
        <v>14</v>
      </c>
      <c r="G5" s="48" t="s">
        <v>15</v>
      </c>
      <c r="H5" s="48" t="s">
        <v>55</v>
      </c>
      <c r="I5" s="48" t="s">
        <v>16</v>
      </c>
      <c r="J5" s="48" t="s">
        <v>56</v>
      </c>
      <c r="K5" s="48" t="s">
        <v>77</v>
      </c>
      <c r="L5" s="48" t="s">
        <v>78</v>
      </c>
      <c r="M5" s="48" t="s">
        <v>79</v>
      </c>
      <c r="N5" s="48" t="s">
        <v>80</v>
      </c>
      <c r="O5" s="48" t="s">
        <v>81</v>
      </c>
    </row>
    <row r="6" spans="2:15" ht="12.75">
      <c r="B6" s="63" t="s">
        <v>71</v>
      </c>
      <c r="C6" s="110"/>
      <c r="D6" s="62">
        <f ca="1">IF(Gehaltsabrechnung!$C$2="Januar",TODAY(),D6)</f>
        <v>40909</v>
      </c>
      <c r="E6" s="62">
        <f ca="1">IF(Gehaltsabrechnung!$C$2="Februar",TODAY(),E6)</f>
        <v>40913</v>
      </c>
      <c r="F6" s="62">
        <f ca="1">IF(Gehaltsabrechnung!$C$2="März",TODAY(),F6)</f>
        <v>40909</v>
      </c>
      <c r="G6" s="62">
        <f ca="1">IF(Gehaltsabrechnung!$C$2="April",TODAY(),G6)</f>
        <v>40909</v>
      </c>
      <c r="H6" s="62">
        <f ca="1">IF(Gehaltsabrechnung!$C$2="Mai",TODAY(),H6)</f>
        <v>40753</v>
      </c>
      <c r="I6" s="62">
        <f ca="1">IF(Gehaltsabrechnung!$C$2="Juni",TODAY(),I6)</f>
        <v>40753</v>
      </c>
      <c r="J6" s="62">
        <f ca="1">IF(Gehaltsabrechnung!$C$2="Juli",TODAY(),J6)</f>
        <v>40752</v>
      </c>
      <c r="K6" s="62">
        <f ca="1">IF(Gehaltsabrechnung!$C$2="August",TODAY(),K6)</f>
        <v>40752</v>
      </c>
      <c r="L6" s="62">
        <f ca="1">IF(Gehaltsabrechnung!$C$2="September",TODAY(),L6)</f>
        <v>40752</v>
      </c>
      <c r="M6" s="62">
        <f ca="1">IF(Gehaltsabrechnung!$C$2="Oktober",TODAY(),M6)</f>
        <v>40752</v>
      </c>
      <c r="N6" s="62">
        <f ca="1">IF(Gehaltsabrechnung!$C$2="November",TODAY(),N6)</f>
        <v>40752</v>
      </c>
      <c r="O6" s="62">
        <f ca="1">IF(Gehaltsabrechnung!$C$2="Dezember",TODAY(),O6)</f>
        <v>40752</v>
      </c>
    </row>
    <row r="7" spans="2:15" ht="12.75">
      <c r="B7" s="184" t="s">
        <v>114</v>
      </c>
      <c r="C7" s="180">
        <f>SUM(D7:O7)</f>
        <v>4800</v>
      </c>
      <c r="D7" s="159">
        <f>IF(Gehaltsabrechnung!$C$2="Januar",Gehaltsabrechnung!$G$27,D7)</f>
        <v>2400</v>
      </c>
      <c r="E7" s="159">
        <f>IF(Gehaltsabrechnung!$C$2="Februar",Gehaltsabrechnung!$G$27,E7)</f>
        <v>2400</v>
      </c>
      <c r="F7" s="159">
        <f>IF(Gehaltsabrechnung!$C$2="März",Gehaltsabrechnung!$G$27,F7)</f>
        <v>0</v>
      </c>
      <c r="G7" s="159">
        <f>IF(Gehaltsabrechnung!$C$2="April",Gehaltsabrechnung!$G$27,G7)</f>
        <v>0</v>
      </c>
      <c r="H7" s="159">
        <f>IF(Gehaltsabrechnung!$C$2="Mai",Gehaltsabrechnung!$G$27,H7)</f>
        <v>0</v>
      </c>
      <c r="I7" s="159">
        <f>IF(Gehaltsabrechnung!$C$2="Juni",Gehaltsabrechnung!$G$27,I7)</f>
        <v>0</v>
      </c>
      <c r="J7" s="159">
        <f>IF(Gehaltsabrechnung!$C$2="Juli",Gehaltsabrechnung!$G$27,J7)</f>
        <v>0</v>
      </c>
      <c r="K7" s="159">
        <f>IF(Gehaltsabrechnung!$C$2="August",Gehaltsabrechnung!$G$27,K7)</f>
        <v>0</v>
      </c>
      <c r="L7" s="159">
        <f>IF(Gehaltsabrechnung!$C$2="September",Gehaltsabrechnung!$G$27,L7)</f>
        <v>0</v>
      </c>
      <c r="M7" s="159">
        <f>IF(Gehaltsabrechnung!$C$2="Oktober",Gehaltsabrechnung!$G$27,M7)</f>
        <v>0</v>
      </c>
      <c r="N7" s="159">
        <f>IF(Gehaltsabrechnung!$C$2="November",Gehaltsabrechnung!$G$27,N7)</f>
        <v>0</v>
      </c>
      <c r="O7" s="159">
        <f>IF(Gehaltsabrechnung!$C$2="Dezember",Gehaltsabrechnung!$G$27,O7)</f>
        <v>0</v>
      </c>
    </row>
    <row r="8" spans="2:15" ht="12" customHeight="1">
      <c r="B8" s="184" t="s">
        <v>111</v>
      </c>
      <c r="C8" s="180">
        <f>SUM(D8:O8)</f>
        <v>228.10000000000002</v>
      </c>
      <c r="D8" s="160">
        <f>IF(Gehaltsabrechnung!$C$2="Januar",Berechnen!$E$50/100,D8)</f>
        <v>228.10000000000002</v>
      </c>
      <c r="E8" s="160">
        <f>IF(Gehaltsabrechnung!$C$2="Februar",Berechnen!$E$50/100,E8)</f>
        <v>0</v>
      </c>
      <c r="F8" s="160">
        <f>IF(Gehaltsabrechnung!$C$2="März",Berechnen!$E$50/100,F8)</f>
        <v>0</v>
      </c>
      <c r="G8" s="160">
        <f>IF(Gehaltsabrechnung!$C$2="April",Berechnen!$E$50/100,G8)</f>
        <v>0</v>
      </c>
      <c r="H8" s="160">
        <f>IF(Gehaltsabrechnung!$C$2="Mai",Berechnen!$E$50/100,H8)</f>
        <v>0</v>
      </c>
      <c r="I8" s="160">
        <f>IF(Gehaltsabrechnung!$C$2="Juni",Berechnen!$E$50/100,I8)</f>
        <v>0</v>
      </c>
      <c r="J8" s="160">
        <f>IF(Gehaltsabrechnung!$C$2="Juli",Berechnen!$E$50/100,J8)</f>
        <v>0</v>
      </c>
      <c r="K8" s="160">
        <f>IF(Gehaltsabrechnung!$C$2="August",Berechnen!$E$50/100,K8)</f>
        <v>0</v>
      </c>
      <c r="L8" s="160">
        <f>IF(Gehaltsabrechnung!$C$2="September",Berechnen!$E$50/100,L8)</f>
        <v>0</v>
      </c>
      <c r="M8" s="160">
        <f>IF(Gehaltsabrechnung!$C$2="Oktober",Berechnen!$E$50/100,M8)</f>
        <v>0</v>
      </c>
      <c r="N8" s="160">
        <f>IF(Gehaltsabrechnung!$C$2="November",Berechnen!$E$50/100,N8)</f>
        <v>0</v>
      </c>
      <c r="O8" s="160">
        <f>IF(Gehaltsabrechnung!$C$2="Dezember",Berechnen!$E$50/100,O8)</f>
        <v>0</v>
      </c>
    </row>
    <row r="9" spans="2:15" ht="12.75" customHeight="1">
      <c r="B9" s="184" t="s">
        <v>262</v>
      </c>
      <c r="C9" s="180">
        <f aca="true" t="shared" si="0" ref="C9:C22">SUM(D9:O9)</f>
        <v>0</v>
      </c>
      <c r="D9" s="160">
        <f>IF(Gehaltsabrechnung!$C$2="Januar",Berechnen!$D$12/100,D9)</f>
        <v>0</v>
      </c>
      <c r="E9" s="160">
        <f>IF(Gehaltsabrechnung!$C$2="Februar",Berechnen!$D$12/100,E9)</f>
        <v>0</v>
      </c>
      <c r="F9" s="160">
        <f>IF(Gehaltsabrechnung!$C$2="März",Berechnen!$D$12/100,F9)</f>
        <v>0</v>
      </c>
      <c r="G9" s="160">
        <f>IF(Gehaltsabrechnung!$C$2="April",Berechnen!$D$12/100,G9)</f>
        <v>0</v>
      </c>
      <c r="H9" s="160">
        <f>IF(Gehaltsabrechnung!$C$2="Mai",Berechnen!$D$12/100,H9)</f>
        <v>0</v>
      </c>
      <c r="I9" s="160">
        <f>IF(Gehaltsabrechnung!$C$2="Juni",Berechnen!$D$12/100,I9)</f>
        <v>0</v>
      </c>
      <c r="J9" s="160">
        <f>IF(Gehaltsabrechnung!$C$2="Juli",Berechnen!$D$12/100,J9)</f>
        <v>0</v>
      </c>
      <c r="K9" s="160">
        <f>IF(Gehaltsabrechnung!$C$2="August",Berechnen!$D$12/100,K9)</f>
        <v>0</v>
      </c>
      <c r="L9" s="160">
        <f>IF(Gehaltsabrechnung!$C$2="September",Berechnen!$D$12/100,L9)</f>
        <v>0</v>
      </c>
      <c r="M9" s="160">
        <f>IF(Gehaltsabrechnung!$C$2="Oktober",Berechnen!$D$12/100,M9)</f>
        <v>0</v>
      </c>
      <c r="N9" s="160">
        <f>IF(Gehaltsabrechnung!$C$2="November",Berechnen!$D$12/100,N9)</f>
        <v>0</v>
      </c>
      <c r="O9" s="160">
        <f>IF(Gehaltsabrechnung!$C$2="Dezember",Berechnen!$D$12/100,O9)</f>
        <v>0</v>
      </c>
    </row>
    <row r="10" spans="2:15" ht="13.5" customHeight="1">
      <c r="B10" s="184" t="s">
        <v>110</v>
      </c>
      <c r="C10" s="180">
        <f>SUM(D10:O10)</f>
        <v>0</v>
      </c>
      <c r="D10" s="160">
        <f>IF(Gehaltsabrechnung!$C$2="Januar",Berechnen!$D$37/100,D10)</f>
        <v>0</v>
      </c>
      <c r="E10" s="160">
        <f>IF(Gehaltsabrechnung!$C$2="Februar",Berechnen!$D$37/100,E10)</f>
        <v>0</v>
      </c>
      <c r="F10" s="160">
        <f>IF(Gehaltsabrechnung!$C$2="März",Berechnen!$D$37/100,F10)</f>
        <v>0</v>
      </c>
      <c r="G10" s="160">
        <f>IF(Gehaltsabrechnung!$C$2="April",Berechnen!$D$37/100,G10)</f>
        <v>0</v>
      </c>
      <c r="H10" s="160">
        <f>IF(Gehaltsabrechnung!$C$2="Mai",Berechnen!$D$37/100,H10)</f>
        <v>0</v>
      </c>
      <c r="I10" s="160">
        <f>IF(Gehaltsabrechnung!$C$2="Juni",Berechnen!$D$37/100,I10)</f>
        <v>0</v>
      </c>
      <c r="J10" s="160">
        <f>IF(Gehaltsabrechnung!$C$2="Juli",Berechnen!$D$37/100,J10)</f>
        <v>0</v>
      </c>
      <c r="K10" s="160">
        <f>IF(Gehaltsabrechnung!$C$2="August",Berechnen!$D$37/100,K10)</f>
        <v>0</v>
      </c>
      <c r="L10" s="160">
        <f>IF(Gehaltsabrechnung!$C$2="September",Berechnen!$D$37/100,L10)</f>
        <v>0</v>
      </c>
      <c r="M10" s="160">
        <f>IF(Gehaltsabrechnung!$C$2="Oktober",Berechnen!$D$37/100,M10)</f>
        <v>0</v>
      </c>
      <c r="N10" s="160">
        <f>IF(Gehaltsabrechnung!$C$2="November",Berechnen!$D$37/100,N10)</f>
        <v>0</v>
      </c>
      <c r="O10" s="160">
        <f>IF(Gehaltsabrechnung!$C$2="Dezember",Berechnen!$D$37/100,O10)</f>
        <v>0</v>
      </c>
    </row>
    <row r="11" spans="2:15" ht="12.75">
      <c r="B11" s="184" t="s">
        <v>65</v>
      </c>
      <c r="C11" s="180">
        <f t="shared" si="0"/>
        <v>37.44</v>
      </c>
      <c r="D11" s="160">
        <f>IF(Gehaltsabrechnung!$C$2="Januar",Gehaltsabrechnung!$G$52,D11)</f>
        <v>37.44</v>
      </c>
      <c r="E11" s="160">
        <f>IF(Gehaltsabrechnung!$C$2="Februar",Gehaltsabrechnung!$G$52,E11)</f>
        <v>0</v>
      </c>
      <c r="F11" s="160">
        <f>IF(Gehaltsabrechnung!$C$2="März",Gehaltsabrechnung!$G$52,F11)</f>
        <v>0</v>
      </c>
      <c r="G11" s="160">
        <f>IF(Gehaltsabrechnung!$C$2="April",Gehaltsabrechnung!$G$52,G11)</f>
        <v>0</v>
      </c>
      <c r="H11" s="160">
        <f>IF(Gehaltsabrechnung!$C$2="Mai",Gehaltsabrechnung!$G$52,H11)</f>
        <v>0</v>
      </c>
      <c r="I11" s="160">
        <f>IF(Gehaltsabrechnung!$C$2="Juni",Gehaltsabrechnung!$G$52,I11)</f>
        <v>0</v>
      </c>
      <c r="J11" s="160">
        <f>IF(Gehaltsabrechnung!$C$2="Juli",Gehaltsabrechnung!$G$52,J11)</f>
        <v>0</v>
      </c>
      <c r="K11" s="160">
        <f>IF(Gehaltsabrechnung!$C$2="August",Gehaltsabrechnung!$G$52,K11)</f>
        <v>0</v>
      </c>
      <c r="L11" s="160">
        <f>IF(Gehaltsabrechnung!$C$2="September",Gehaltsabrechnung!$G$52,L11)</f>
        <v>0</v>
      </c>
      <c r="M11" s="160">
        <f>IF(Gehaltsabrechnung!$C$2="Oktober",Gehaltsabrechnung!$G$52,M11)</f>
        <v>0</v>
      </c>
      <c r="N11" s="160">
        <f>IF(Gehaltsabrechnung!$C$2="November",Gehaltsabrechnung!$G$52,N11)</f>
        <v>0</v>
      </c>
      <c r="O11" s="160">
        <f>IF(Gehaltsabrechnung!$C$2="Dezember",Gehaltsabrechnung!$G$52,O11)</f>
        <v>0</v>
      </c>
    </row>
    <row r="12" spans="2:15" ht="6" customHeight="1">
      <c r="B12" s="185"/>
      <c r="C12" s="18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2:15" ht="12.75">
      <c r="B13" s="184" t="s">
        <v>57</v>
      </c>
      <c r="C13" s="180">
        <f t="shared" si="0"/>
        <v>1297.1599999999999</v>
      </c>
      <c r="D13" s="160">
        <f>IF(Gehaltsabrechnung!$C$2="Januar",Berechnen!$B$71/100,D13)</f>
        <v>691</v>
      </c>
      <c r="E13" s="160">
        <f>IF(Gehaltsabrechnung!$C$2="Februar",Berechnen!$B$71/100,E13)</f>
        <v>606.16</v>
      </c>
      <c r="F13" s="160">
        <f>IF(Gehaltsabrechnung!$C$2="März",Berechnen!$B$71/100,F13)</f>
        <v>0</v>
      </c>
      <c r="G13" s="160">
        <f>IF(Gehaltsabrechnung!$C$2="April",Berechnen!$B$71/100,G13)</f>
        <v>0</v>
      </c>
      <c r="H13" s="160">
        <f>IF(Gehaltsabrechnung!$C$2="Mai",Berechnen!$B$71/100,H13)</f>
        <v>0</v>
      </c>
      <c r="I13" s="160">
        <f>IF(Gehaltsabrechnung!$C$2="Juni",Berechnen!$B$71/100,I13)</f>
        <v>0</v>
      </c>
      <c r="J13" s="160">
        <f>IF(Gehaltsabrechnung!$C$2="Juli",Berechnen!$B$71/100,J13)</f>
        <v>0</v>
      </c>
      <c r="K13" s="160">
        <f>IF(Gehaltsabrechnung!$C$2="August",Berechnen!$B$71/100,K13)</f>
        <v>0</v>
      </c>
      <c r="L13" s="160">
        <f>IF(Gehaltsabrechnung!$C$2="September",Berechnen!$B$71/100,L13)</f>
        <v>0</v>
      </c>
      <c r="M13" s="160">
        <f>IF(Gehaltsabrechnung!$C$2="Oktober",Berechnen!$B$71/100,M13)</f>
        <v>0</v>
      </c>
      <c r="N13" s="160">
        <f>IF(Gehaltsabrechnung!$C$2="November",Berechnen!$B$71/100,N13)</f>
        <v>0</v>
      </c>
      <c r="O13" s="160">
        <f>IF(Gehaltsabrechnung!$C$2="Dezember",Berechnen!$B$71/100,O13)</f>
        <v>0</v>
      </c>
    </row>
    <row r="14" spans="2:15" ht="1.5" customHeight="1">
      <c r="B14" s="184"/>
      <c r="C14" s="18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2:15" ht="12.75">
      <c r="B15" s="184" t="s">
        <v>8</v>
      </c>
      <c r="C15" s="180">
        <f t="shared" si="0"/>
        <v>71.33</v>
      </c>
      <c r="D15" s="160">
        <f>IF(Gehaltsabrechnung!$C$2="Januar",Berechnen!$B$87,D15)</f>
        <v>38</v>
      </c>
      <c r="E15" s="160">
        <f>IF(Gehaltsabrechnung!$C$2="Februar",Berechnen!$B$87,E15)</f>
        <v>33.33</v>
      </c>
      <c r="F15" s="160">
        <f>IF(Gehaltsabrechnung!$C$2="März",Berechnen!$B$87,F15)</f>
        <v>0</v>
      </c>
      <c r="G15" s="160">
        <f>IF(Gehaltsabrechnung!$C$2="April",Berechnen!$B$87,G15)</f>
        <v>0</v>
      </c>
      <c r="H15" s="160">
        <f>IF(Gehaltsabrechnung!$C$2="Mai",Berechnen!$B$87,H15)</f>
        <v>0</v>
      </c>
      <c r="I15" s="160">
        <f>IF(Gehaltsabrechnung!$C$2="Juni",Berechnen!$B$87,I15)</f>
        <v>0</v>
      </c>
      <c r="J15" s="160">
        <f>IF(Gehaltsabrechnung!$C$2="Juli",Berechnen!$B$87,J15)</f>
        <v>0</v>
      </c>
      <c r="K15" s="160">
        <f>IF(Gehaltsabrechnung!$C$2="August",Berechnen!$B$87,K15)</f>
        <v>0</v>
      </c>
      <c r="L15" s="160">
        <f>IF(Gehaltsabrechnung!$C$2="September",Berechnen!$B$87,L15)</f>
        <v>0</v>
      </c>
      <c r="M15" s="160">
        <f>IF(Gehaltsabrechnung!$C$2="Oktober",Berechnen!$B$87,M15)</f>
        <v>0</v>
      </c>
      <c r="N15" s="160">
        <f>IF(Gehaltsabrechnung!$C$2="November",Berechnen!$B$87,N15)</f>
        <v>0</v>
      </c>
      <c r="O15" s="160">
        <f>IF(Gehaltsabrechnung!$C$2="Dezember",Berechnen!$B$87,O15)</f>
        <v>0</v>
      </c>
    </row>
    <row r="16" spans="2:15" ht="1.5" customHeight="1">
      <c r="B16" s="184"/>
      <c r="C16" s="18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</row>
    <row r="17" spans="2:15" ht="12.75">
      <c r="B17" s="184" t="s">
        <v>9</v>
      </c>
      <c r="C17" s="180">
        <f t="shared" si="0"/>
        <v>116.74</v>
      </c>
      <c r="D17" s="160">
        <f>IF(Gehaltsabrechnung!$C$2="Januar",Berechnen!$B$93,D17)</f>
        <v>62.19</v>
      </c>
      <c r="E17" s="160">
        <f>IF(Gehaltsabrechnung!$C$2="Februar",Berechnen!$B$93,E17)</f>
        <v>54.55</v>
      </c>
      <c r="F17" s="160">
        <f>IF(Gehaltsabrechnung!$C$2="März",Berechnen!$B$93,F17)</f>
        <v>0</v>
      </c>
      <c r="G17" s="160">
        <f>IF(Gehaltsabrechnung!$C$2="April",Berechnen!$B$93,G17)</f>
        <v>0</v>
      </c>
      <c r="H17" s="160">
        <f>IF(Gehaltsabrechnung!$C$2="Mai",Berechnen!$B$93,H17)</f>
        <v>0</v>
      </c>
      <c r="I17" s="160">
        <f>IF(Gehaltsabrechnung!$C$2="Juni",Berechnen!$B$93,I17)</f>
        <v>0</v>
      </c>
      <c r="J17" s="160">
        <f>IF(Gehaltsabrechnung!$C$2="Juli",Berechnen!$B$93,J17)</f>
        <v>0</v>
      </c>
      <c r="K17" s="160">
        <f>IF(Gehaltsabrechnung!$C$2="August",Berechnen!$B$93,K17)</f>
        <v>0</v>
      </c>
      <c r="L17" s="160">
        <f>IF(Gehaltsabrechnung!$C$2="September",Berechnen!$B$93,L17)</f>
        <v>0</v>
      </c>
      <c r="M17" s="160">
        <f>IF(Gehaltsabrechnung!$C$2="Oktober",Berechnen!$B$93,M17)</f>
        <v>0</v>
      </c>
      <c r="N17" s="160">
        <f>IF(Gehaltsabrechnung!$C$2="November",Berechnen!$B$93,N17)</f>
        <v>0</v>
      </c>
      <c r="O17" s="160">
        <f>IF(Gehaltsabrechnung!$C$2="Dezember",Berechnen!$B$93,O17)</f>
        <v>0</v>
      </c>
    </row>
    <row r="18" spans="2:15" ht="5.25" customHeight="1">
      <c r="B18" s="185"/>
      <c r="C18" s="181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</row>
    <row r="19" spans="2:15" ht="12.75">
      <c r="B19" s="184" t="s">
        <v>58</v>
      </c>
      <c r="C19" s="180">
        <f t="shared" si="0"/>
        <v>412.3</v>
      </c>
      <c r="D19" s="160">
        <f>IF(Gehaltsabrechnung!$C$2="Januar",Berechnen!$E$77,D19)</f>
        <v>215.5</v>
      </c>
      <c r="E19" s="160">
        <f>IF(Gehaltsabrechnung!$C$2="Februar",Berechnen!$E$77,E19)</f>
        <v>196.8</v>
      </c>
      <c r="F19" s="160">
        <f>IF(Gehaltsabrechnung!$C$2="März",Berechnen!$E$77,F19)</f>
        <v>0</v>
      </c>
      <c r="G19" s="160">
        <f>IF(Gehaltsabrechnung!$C$2="April",Berechnen!$E$77,G19)</f>
        <v>0</v>
      </c>
      <c r="H19" s="160">
        <f>IF(Gehaltsabrechnung!$C$2="Mai",Berechnen!$E$77,H19)</f>
        <v>0</v>
      </c>
      <c r="I19" s="160">
        <f>IF(Gehaltsabrechnung!$C$2="Juni",Berechnen!$E$77,I19)</f>
        <v>0</v>
      </c>
      <c r="J19" s="160">
        <f>IF(Gehaltsabrechnung!$C$2="Juli",Berechnen!$E$77,J19)</f>
        <v>0</v>
      </c>
      <c r="K19" s="160">
        <f>IF(Gehaltsabrechnung!$C$2="August",Berechnen!$E$77,K19)</f>
        <v>0</v>
      </c>
      <c r="L19" s="160">
        <f>IF(Gehaltsabrechnung!$C$2="September",Berechnen!$E$77,L19)</f>
        <v>0</v>
      </c>
      <c r="M19" s="160">
        <f>IF(Gehaltsabrechnung!$C$2="Oktober",Berechnen!$E$77,M19)</f>
        <v>0</v>
      </c>
      <c r="N19" s="160">
        <f>IF(Gehaltsabrechnung!$C$2="November",Berechnen!$E$77,N19)</f>
        <v>0</v>
      </c>
      <c r="O19" s="160">
        <f>IF(Gehaltsabrechnung!$C$2="Dezember",Berechnen!$E$77,O19)</f>
        <v>0</v>
      </c>
    </row>
    <row r="20" spans="2:15" ht="12.75">
      <c r="B20" s="184" t="s">
        <v>59</v>
      </c>
      <c r="C20" s="180">
        <f t="shared" si="0"/>
        <v>500.3</v>
      </c>
      <c r="D20" s="160">
        <f>IF(Gehaltsabrechnung!$C$2="Januar",Berechnen!$E$75,D20)</f>
        <v>261.5</v>
      </c>
      <c r="E20" s="160">
        <f>IF(Gehaltsabrechnung!$C$2="Februar",Berechnen!$E$75,E20)</f>
        <v>238.8</v>
      </c>
      <c r="F20" s="160">
        <f>IF(Gehaltsabrechnung!$C$2="März",Berechnen!$E$75,F20)</f>
        <v>0</v>
      </c>
      <c r="G20" s="160">
        <f>IF(Gehaltsabrechnung!$C$2="April",Berechnen!$E$75,G20)</f>
        <v>0</v>
      </c>
      <c r="H20" s="160">
        <f>IF(Gehaltsabrechnung!$C$2="Mai",Berechnen!$E$75,H20)</f>
        <v>0</v>
      </c>
      <c r="I20" s="160">
        <f>IF(Gehaltsabrechnung!$C$2="Juni",Berechnen!$E$75,I20)</f>
        <v>0</v>
      </c>
      <c r="J20" s="160">
        <f>IF(Gehaltsabrechnung!$C$2="Juli",Berechnen!$E$75,J20)</f>
        <v>0</v>
      </c>
      <c r="K20" s="160">
        <f>IF(Gehaltsabrechnung!$C$2="August",Berechnen!$E$75,K20)</f>
        <v>0</v>
      </c>
      <c r="L20" s="160">
        <f>IF(Gehaltsabrechnung!$C$2="September",Berechnen!$E$75,L20)</f>
        <v>0</v>
      </c>
      <c r="M20" s="160">
        <f>IF(Gehaltsabrechnung!$C$2="Oktober",Berechnen!$E$75,M20)</f>
        <v>0</v>
      </c>
      <c r="N20" s="160">
        <f>IF(Gehaltsabrechnung!$C$2="November",Berechnen!$E$75,N20)</f>
        <v>0</v>
      </c>
      <c r="O20" s="160">
        <f>IF(Gehaltsabrechnung!$C$2="Dezember",Berechnen!$E$75,O20)</f>
        <v>0</v>
      </c>
    </row>
    <row r="21" spans="2:15" ht="12.75">
      <c r="B21" s="184" t="s">
        <v>66</v>
      </c>
      <c r="C21" s="180">
        <f t="shared" si="0"/>
        <v>75.42</v>
      </c>
      <c r="D21" s="160">
        <f>IF(Gehaltsabrechnung!$C$2="Januar",Berechnen!$E$76,D21)</f>
        <v>39.42</v>
      </c>
      <c r="E21" s="160">
        <f>IF(Gehaltsabrechnung!$C$2="Februar",Berechnen!$E$76,E21)</f>
        <v>36</v>
      </c>
      <c r="F21" s="160">
        <f>IF(Gehaltsabrechnung!$C$2="März",Berechnen!$E$76,F21)</f>
        <v>0</v>
      </c>
      <c r="G21" s="160">
        <f>IF(Gehaltsabrechnung!$C$2="April",Berechnen!$E$76,G21)</f>
        <v>0</v>
      </c>
      <c r="H21" s="160">
        <f>IF(Gehaltsabrechnung!$C$2="Mai",Berechnen!$E$76,H21)</f>
        <v>0</v>
      </c>
      <c r="I21" s="160">
        <f>IF(Gehaltsabrechnung!$C$2="Juni",Berechnen!$E$76,I21)</f>
        <v>0</v>
      </c>
      <c r="J21" s="160">
        <f>IF(Gehaltsabrechnung!$C$2="Juli",Berechnen!$E$76,J21)</f>
        <v>0</v>
      </c>
      <c r="K21" s="160">
        <f>IF(Gehaltsabrechnung!$C$2="August",Berechnen!$E$76,K21)</f>
        <v>0</v>
      </c>
      <c r="L21" s="160">
        <f>IF(Gehaltsabrechnung!$C$2="September",Berechnen!$E$76,L21)</f>
        <v>0</v>
      </c>
      <c r="M21" s="160">
        <f>IF(Gehaltsabrechnung!$C$2="Oktober",Berechnen!$E$76,M21)</f>
        <v>0</v>
      </c>
      <c r="N21" s="160">
        <f>IF(Gehaltsabrechnung!$C$2="November",Berechnen!$E$76,N21)</f>
        <v>0</v>
      </c>
      <c r="O21" s="160">
        <f>IF(Gehaltsabrechnung!$C$2="Dezember",Berechnen!$E$76,O21)</f>
        <v>0</v>
      </c>
    </row>
    <row r="22" spans="2:15" ht="12.75">
      <c r="B22" s="184" t="s">
        <v>60</v>
      </c>
      <c r="C22" s="180">
        <f t="shared" si="0"/>
        <v>55.019999999999996</v>
      </c>
      <c r="D22" s="160">
        <f>IF(Gehaltsabrechnung!$C$2="Januar",Berechnen!$E78,D22)</f>
        <v>25.62</v>
      </c>
      <c r="E22" s="160">
        <f>IF(Gehaltsabrechnung!$C$2="Februar",Berechnen!$E78,E22)</f>
        <v>29.4</v>
      </c>
      <c r="F22" s="160">
        <f>IF(Gehaltsabrechnung!$C$2="März",Berechnen!$E78,F22)</f>
        <v>0</v>
      </c>
      <c r="G22" s="160">
        <f>IF(Gehaltsabrechnung!$C$2="April",Berechnen!$E78,G22)</f>
        <v>0</v>
      </c>
      <c r="H22" s="160">
        <f>IF(Gehaltsabrechnung!$C$2="Mai",Berechnen!$E78,H22)</f>
        <v>0</v>
      </c>
      <c r="I22" s="160">
        <f>IF(Gehaltsabrechnung!$C$2="Juni",Berechnen!$E78,I22)</f>
        <v>0</v>
      </c>
      <c r="J22" s="160">
        <f>IF(Gehaltsabrechnung!$C$2="Juli",Berechnen!$E78,J22)</f>
        <v>0</v>
      </c>
      <c r="K22" s="160">
        <f>IF(Gehaltsabrechnung!$C$2="August",Berechnen!$E78,K22)</f>
        <v>0</v>
      </c>
      <c r="L22" s="160">
        <f>IF(Gehaltsabrechnung!$C$2="September",Berechnen!$E78,L22)</f>
        <v>0</v>
      </c>
      <c r="M22" s="160">
        <f>IF(Gehaltsabrechnung!$C$2="Oktober",Berechnen!$E78,M22)</f>
        <v>0</v>
      </c>
      <c r="N22" s="160">
        <f>IF(Gehaltsabrechnung!$C$2="November",Berechnen!$E78,N22)</f>
        <v>0</v>
      </c>
      <c r="O22" s="160">
        <f>IF(Gehaltsabrechnung!$C$2="Dezember",Berechnen!$E78,O22)</f>
        <v>0</v>
      </c>
    </row>
    <row r="23" spans="2:15" ht="4.5" customHeight="1">
      <c r="B23" s="184"/>
      <c r="C23" s="182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</row>
    <row r="24" spans="2:15" ht="12" customHeight="1">
      <c r="B24" s="186" t="s">
        <v>122</v>
      </c>
      <c r="C24" s="183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</row>
    <row r="25" spans="2:15" ht="12.75">
      <c r="B25" s="184" t="s">
        <v>61</v>
      </c>
      <c r="C25" s="180">
        <f aca="true" t="shared" si="1" ref="C25:C31">SUM(D25:O25)</f>
        <v>367.05129999999997</v>
      </c>
      <c r="D25" s="160">
        <f>IF(Gehaltsabrechnung!$C$2="Januar",Berechnen!$E$62,D25)</f>
        <v>191.8513</v>
      </c>
      <c r="E25" s="160">
        <f>IF(Gehaltsabrechnung!$C$2="Februar",Berechnen!$E$62,E25)</f>
        <v>175.2</v>
      </c>
      <c r="F25" s="160">
        <f>IF(Gehaltsabrechnung!$C$2="März",Berechnen!$E$62,F25)</f>
        <v>0</v>
      </c>
      <c r="G25" s="160">
        <f>IF(Gehaltsabrechnung!$C$2="April",Berechnen!$E$62,G25)</f>
        <v>0</v>
      </c>
      <c r="H25" s="160">
        <f>IF(Gehaltsabrechnung!$C$2="Mai",Berechnen!$E$62,H25)</f>
        <v>0</v>
      </c>
      <c r="I25" s="160">
        <f>IF(Gehaltsabrechnung!$C$2="Juni",Berechnen!$E$62,I25)</f>
        <v>0</v>
      </c>
      <c r="J25" s="160">
        <f>IF(Gehaltsabrechnung!$C$2="Juli",Berechnen!$E$62,J25)</f>
        <v>0</v>
      </c>
      <c r="K25" s="160">
        <f>IF(Gehaltsabrechnung!$C$2="August",Berechnen!$E$62,K25)</f>
        <v>0</v>
      </c>
      <c r="L25" s="160">
        <f>IF(Gehaltsabrechnung!$C$2="September",Berechnen!$E$62,L25)</f>
        <v>0</v>
      </c>
      <c r="M25" s="160">
        <f>IF(Gehaltsabrechnung!$C$2="Oktober",Berechnen!$E$62,M25)</f>
        <v>0</v>
      </c>
      <c r="N25" s="160">
        <f>IF(Gehaltsabrechnung!$C$2="November",Berechnen!$E$62,N25)</f>
        <v>0</v>
      </c>
      <c r="O25" s="160">
        <f>IF(Gehaltsabrechnung!$C$2="Dezember",Berechnen!$E$62,O25)</f>
        <v>0</v>
      </c>
    </row>
    <row r="26" spans="2:15" ht="12.75">
      <c r="B26" s="184" t="s">
        <v>62</v>
      </c>
      <c r="C26" s="180">
        <f t="shared" si="1"/>
        <v>500.3</v>
      </c>
      <c r="D26" s="160">
        <f>IF(Gehaltsabrechnung!$C$2="Januar",Berechnen!$E$60,D26)</f>
        <v>261.5</v>
      </c>
      <c r="E26" s="160">
        <f>IF(Gehaltsabrechnung!$C$2="Februar",Berechnen!$E$60,E26)</f>
        <v>238.8</v>
      </c>
      <c r="F26" s="160">
        <f>IF(Gehaltsabrechnung!$C$2="März",Berechnen!$E$60,F26)</f>
        <v>0</v>
      </c>
      <c r="G26" s="160">
        <f>IF(Gehaltsabrechnung!$C$2="April",Berechnen!$E$60,G26)</f>
        <v>0</v>
      </c>
      <c r="H26" s="160">
        <f>IF(Gehaltsabrechnung!$C$2="Mai",Berechnen!$E$60,H26)</f>
        <v>0</v>
      </c>
      <c r="I26" s="160">
        <f>IF(Gehaltsabrechnung!$C$2="Juni",Berechnen!$E$60,I26)</f>
        <v>0</v>
      </c>
      <c r="J26" s="160">
        <f>IF(Gehaltsabrechnung!$C$2="Juli",Berechnen!$E$60,J26)</f>
        <v>0</v>
      </c>
      <c r="K26" s="160">
        <f>IF(Gehaltsabrechnung!$C$2="August",Berechnen!$E$60,K26)</f>
        <v>0</v>
      </c>
      <c r="L26" s="160">
        <f>IF(Gehaltsabrechnung!$C$2="September",Berechnen!$E$60,L26)</f>
        <v>0</v>
      </c>
      <c r="M26" s="160">
        <f>IF(Gehaltsabrechnung!$C$2="Oktober",Berechnen!$E$60,M26)</f>
        <v>0</v>
      </c>
      <c r="N26" s="160">
        <f>IF(Gehaltsabrechnung!$C$2="November",Berechnen!$E$60,N26)</f>
        <v>0</v>
      </c>
      <c r="O26" s="160">
        <f>IF(Gehaltsabrechnung!$C$2="Dezember",Berechnen!$E$60,O26)</f>
        <v>0</v>
      </c>
    </row>
    <row r="27" spans="2:15" ht="12.75">
      <c r="B27" s="184" t="s">
        <v>64</v>
      </c>
      <c r="C27" s="180">
        <f t="shared" si="1"/>
        <v>75.42</v>
      </c>
      <c r="D27" s="160">
        <f>IF(Gehaltsabrechnung!$C$2="Januar",Berechnen!$E$61,D27)</f>
        <v>39.42</v>
      </c>
      <c r="E27" s="160">
        <f>IF(Gehaltsabrechnung!$C$2="Februar",Berechnen!$E$61,E27)</f>
        <v>36</v>
      </c>
      <c r="F27" s="160">
        <f>IF(Gehaltsabrechnung!$C$2="März",Berechnen!$E$61,F27)</f>
        <v>0</v>
      </c>
      <c r="G27" s="160">
        <f>IF(Gehaltsabrechnung!$C$2="April",Berechnen!$E$61,G27)</f>
        <v>0</v>
      </c>
      <c r="H27" s="160">
        <f>IF(Gehaltsabrechnung!$C$2="Mai",Berechnen!$E$61,H27)</f>
        <v>0</v>
      </c>
      <c r="I27" s="160">
        <f>IF(Gehaltsabrechnung!$C$2="Juni",Berechnen!$E$61,I27)</f>
        <v>0</v>
      </c>
      <c r="J27" s="160">
        <f>IF(Gehaltsabrechnung!$C$2="Juli",Berechnen!$E$61,J27)</f>
        <v>0</v>
      </c>
      <c r="K27" s="160">
        <f>IF(Gehaltsabrechnung!$C$2="August",Berechnen!$E$61,K27)</f>
        <v>0</v>
      </c>
      <c r="L27" s="160">
        <f>IF(Gehaltsabrechnung!$C$2="September",Berechnen!$E$61,L27)</f>
        <v>0</v>
      </c>
      <c r="M27" s="160">
        <f>IF(Gehaltsabrechnung!$C$2="Oktober",Berechnen!$E$61,M27)</f>
        <v>0</v>
      </c>
      <c r="N27" s="160">
        <f>IF(Gehaltsabrechnung!$C$2="November",Berechnen!$E$61,N27)</f>
        <v>0</v>
      </c>
      <c r="O27" s="160">
        <f>IF(Gehaltsabrechnung!$C$2="Dezember",Berechnen!$E$61,O27)</f>
        <v>0</v>
      </c>
    </row>
    <row r="28" spans="2:15" ht="12.75">
      <c r="B28" s="184" t="s">
        <v>63</v>
      </c>
      <c r="C28" s="180">
        <f t="shared" si="1"/>
        <v>49.019999999999996</v>
      </c>
      <c r="D28" s="160">
        <f>IF(Gehaltsabrechnung!$C$2="Januar",Berechnen!$E$63,D28)</f>
        <v>25.62</v>
      </c>
      <c r="E28" s="160">
        <f>IF(Gehaltsabrechnung!$C$2="Februar",Berechnen!$E$63,E28)</f>
        <v>23.4</v>
      </c>
      <c r="F28" s="160">
        <f>IF(Gehaltsabrechnung!$C$2="März",Berechnen!$E$63,F28)</f>
        <v>0</v>
      </c>
      <c r="G28" s="160">
        <f>IF(Gehaltsabrechnung!$C$2="April",Berechnen!$E$63,G28)</f>
        <v>0</v>
      </c>
      <c r="H28" s="160">
        <f>IF(Gehaltsabrechnung!$C$2="Mai",Berechnen!$E$63,H28)</f>
        <v>0</v>
      </c>
      <c r="I28" s="160">
        <f>IF(Gehaltsabrechnung!$C$2="Juni",Berechnen!$E$63,I28)</f>
        <v>0</v>
      </c>
      <c r="J28" s="160">
        <f>IF(Gehaltsabrechnung!$C$2="Juli",Berechnen!$E$63,J28)</f>
        <v>0</v>
      </c>
      <c r="K28" s="160">
        <f>IF(Gehaltsabrechnung!$C$2="August",Berechnen!$E$63,K28)</f>
        <v>0</v>
      </c>
      <c r="L28" s="160">
        <f>IF(Gehaltsabrechnung!$C$2="September",Berechnen!$E$63,L28)</f>
        <v>0</v>
      </c>
      <c r="M28" s="160">
        <f>IF(Gehaltsabrechnung!$C$2="Oktober",Berechnen!$E$63,M28)</f>
        <v>0</v>
      </c>
      <c r="N28" s="160">
        <f>IF(Gehaltsabrechnung!$C$2="November",Berechnen!$E$63,N28)</f>
        <v>0</v>
      </c>
      <c r="O28" s="160">
        <f>IF(Gehaltsabrechnung!$C$2="Dezember",Berechnen!$E$63,O28)</f>
        <v>0</v>
      </c>
    </row>
    <row r="29" spans="2:15" ht="12.75">
      <c r="B29" s="184" t="s">
        <v>67</v>
      </c>
      <c r="C29" s="180">
        <f t="shared" si="1"/>
        <v>165.93</v>
      </c>
      <c r="D29" s="160">
        <f>IF(Gehaltsabrechnung!$C$2="Januar",Berechnen!$E$94,D29)</f>
        <v>86.73</v>
      </c>
      <c r="E29" s="160">
        <f>IF(Gehaltsabrechnung!$C$2="Februar",Berechnen!$E$94,E29)</f>
        <v>79.2</v>
      </c>
      <c r="F29" s="160">
        <f>IF(Gehaltsabrechnung!$C$2="März",Berechnen!$E$94,F29)</f>
        <v>0</v>
      </c>
      <c r="G29" s="160">
        <f>IF(Gehaltsabrechnung!$C$2="April",Berechnen!$E$94,G29)</f>
        <v>0</v>
      </c>
      <c r="H29" s="160">
        <f>IF(Gehaltsabrechnung!$C$2="Mai",Berechnen!$E$94,H29)</f>
        <v>0</v>
      </c>
      <c r="I29" s="160">
        <f>IF(Gehaltsabrechnung!$C$2="Juni",Berechnen!$E$94,I29)</f>
        <v>0</v>
      </c>
      <c r="J29" s="160">
        <f>IF(Gehaltsabrechnung!$C$2="Juli",Berechnen!$E$94,J29)</f>
        <v>0</v>
      </c>
      <c r="K29" s="160">
        <f>IF(Gehaltsabrechnung!$C$2="August",Berechnen!$E$94,K29)</f>
        <v>0</v>
      </c>
      <c r="L29" s="160">
        <f>IF(Gehaltsabrechnung!$C$2="September",Berechnen!$E$94,L29)</f>
        <v>0</v>
      </c>
      <c r="M29" s="160">
        <f>IF(Gehaltsabrechnung!$C$2="Oktober",Berechnen!$E$94,M29)</f>
        <v>0</v>
      </c>
      <c r="N29" s="160">
        <f>IF(Gehaltsabrechnung!$C$2="November",Berechnen!$E$94,N29)</f>
        <v>0</v>
      </c>
      <c r="O29" s="160">
        <f>IF(Gehaltsabrechnung!$C$2="Dezember",Berechnen!$E$94,O29)</f>
        <v>0</v>
      </c>
    </row>
    <row r="30" spans="2:15" ht="12.75">
      <c r="B30" s="184" t="s">
        <v>273</v>
      </c>
      <c r="C30" s="180">
        <f t="shared" si="1"/>
        <v>16.59</v>
      </c>
      <c r="D30" s="160">
        <f>IF(Gehaltsabrechnung!$C$2="Januar",Berechnen!$E$95,D30)</f>
        <v>8.67</v>
      </c>
      <c r="E30" s="160">
        <f>IF(Gehaltsabrechnung!$C$2="Februar",Berechnen!$E$95,E30)</f>
        <v>7.92</v>
      </c>
      <c r="F30" s="160">
        <f>IF(Gehaltsabrechnung!$C$2="März",Berechnen!$E$95,F30)</f>
        <v>0</v>
      </c>
      <c r="G30" s="160">
        <f>IF(Gehaltsabrechnung!$C$2="April",Berechnen!$E$95,G30)</f>
        <v>0</v>
      </c>
      <c r="H30" s="160">
        <f>IF(Gehaltsabrechnung!$C$2="Mai",Berechnen!$E$95,H30)</f>
        <v>0</v>
      </c>
      <c r="I30" s="160">
        <f>IF(Gehaltsabrechnung!$C$2="Juni",Berechnen!$E$95,I30)</f>
        <v>0</v>
      </c>
      <c r="J30" s="160">
        <f>IF(Gehaltsabrechnung!$C$2="Juli",Berechnen!$E$95,J30)</f>
        <v>0</v>
      </c>
      <c r="K30" s="160">
        <f>IF(Gehaltsabrechnung!$C$2="August",Berechnen!$E$95,K30)</f>
        <v>0</v>
      </c>
      <c r="L30" s="160">
        <f>IF(Gehaltsabrechnung!$C$2="September",Berechnen!$E$95,L30)</f>
        <v>0</v>
      </c>
      <c r="M30" s="160">
        <f>IF(Gehaltsabrechnung!$C$2="Oktober",Berechnen!$E$95,M30)</f>
        <v>0</v>
      </c>
      <c r="N30" s="160">
        <f>IF(Gehaltsabrechnung!$C$2="November",Berechnen!$E$95,N30)</f>
        <v>0</v>
      </c>
      <c r="O30" s="160">
        <f>IF(Gehaltsabrechnung!$C$2="Dezember",Berechnen!$E$95,O30)</f>
        <v>0</v>
      </c>
    </row>
    <row r="31" spans="2:15" ht="12.75">
      <c r="B31" s="184" t="s">
        <v>68</v>
      </c>
      <c r="C31" s="180">
        <f t="shared" si="1"/>
        <v>0</v>
      </c>
      <c r="D31" s="160">
        <f>IF(Gehaltsabrechnung!$C$2="Januar",Berechnen!$E$96/100,D31)</f>
        <v>0</v>
      </c>
      <c r="E31" s="160">
        <f>IF(Gehaltsabrechnung!$C$2="Februar",Berechnen!$E$96/100,E31)</f>
        <v>0</v>
      </c>
      <c r="F31" s="160">
        <f>IF(Gehaltsabrechnung!$C$2="März",Berechnen!$E$96/100,F31)</f>
        <v>0</v>
      </c>
      <c r="G31" s="160">
        <f>IF(Gehaltsabrechnung!$C$2="April",Berechnen!$E$96/100,G31)</f>
        <v>0</v>
      </c>
      <c r="H31" s="160">
        <f>IF(Gehaltsabrechnung!$C$2="Mai",Berechnen!$E$96/100,H31)</f>
        <v>0</v>
      </c>
      <c r="I31" s="160">
        <f>IF(Gehaltsabrechnung!$C$2="Juni",Berechnen!$E$96/100,I31)</f>
        <v>0</v>
      </c>
      <c r="J31" s="160">
        <f>IF(Gehaltsabrechnung!$C$2="Juli",Berechnen!$E$96/100,J31)</f>
        <v>0</v>
      </c>
      <c r="K31" s="160">
        <f>IF(Gehaltsabrechnung!$C$2="August",Berechnen!$E$96/100,K31)</f>
        <v>0</v>
      </c>
      <c r="L31" s="160">
        <f>IF(Gehaltsabrechnung!$C$2="September",Berechnen!$E$96/100,L31)</f>
        <v>0</v>
      </c>
      <c r="M31" s="160">
        <f>IF(Gehaltsabrechnung!$C$2="Oktober",Berechnen!$E$96/100,M31)</f>
        <v>0</v>
      </c>
      <c r="N31" s="160">
        <f>IF(Gehaltsabrechnung!$C$2="November",Berechnen!$E$96/100,N31)</f>
        <v>0</v>
      </c>
      <c r="O31" s="160">
        <f>IF(Gehaltsabrechnung!$C$2="Dezember",Berechnen!$E$96/100,O31)</f>
        <v>0</v>
      </c>
    </row>
    <row r="32" spans="2:16" ht="6" customHeight="1">
      <c r="B32" s="185"/>
      <c r="C32" s="181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0"/>
    </row>
    <row r="33" spans="2:15" ht="12.75">
      <c r="B33" s="184" t="s">
        <v>123</v>
      </c>
      <c r="C33" s="180">
        <f>SUM(D33:O33)</f>
        <v>37.44</v>
      </c>
      <c r="D33" s="160">
        <f>IF(Gehaltsabrechnung!$C$2="Januar",Gehaltsabrechnung!$G$45,D33)</f>
        <v>37.44</v>
      </c>
      <c r="E33" s="160">
        <f>IF(Gehaltsabrechnung!$C$2="Februar",Gehaltsabrechnung!$G$45,E33)</f>
        <v>0</v>
      </c>
      <c r="F33" s="160">
        <f>IF(Gehaltsabrechnung!$C$2="März",Gehaltsabrechnung!$G$45,F33)</f>
        <v>0</v>
      </c>
      <c r="G33" s="160">
        <f>IF(Gehaltsabrechnung!$C$2="April",Gehaltsabrechnung!$G$45,G33)</f>
        <v>0</v>
      </c>
      <c r="H33" s="160">
        <f>IF(Gehaltsabrechnung!$C$2="Mai",Gehaltsabrechnung!$G$45,H33)</f>
        <v>0</v>
      </c>
      <c r="I33" s="160">
        <f>IF(Gehaltsabrechnung!$C$2="Juni",Gehaltsabrechnung!$G$45,I33)</f>
        <v>0</v>
      </c>
      <c r="J33" s="160">
        <f>IF(Gehaltsabrechnung!$C$2="Juli",Gehaltsabrechnung!$G$45,J33)</f>
        <v>0</v>
      </c>
      <c r="K33" s="160">
        <f>IF(Gehaltsabrechnung!$C$2="August",Gehaltsabrechnung!$G$45,K33)</f>
        <v>0</v>
      </c>
      <c r="L33" s="160">
        <f>IF(Gehaltsabrechnung!$C$2="September",Gehaltsabrechnung!$G$45,L33)</f>
        <v>0</v>
      </c>
      <c r="M33" s="160">
        <f>IF(Gehaltsabrechnung!$C$2="Oktober",Gehaltsabrechnung!$G$45,M33)</f>
        <v>0</v>
      </c>
      <c r="N33" s="160">
        <f>IF(Gehaltsabrechnung!$C$2="November",Gehaltsabrechnung!$G$45,N33)</f>
        <v>0</v>
      </c>
      <c r="O33" s="160">
        <f>IF(Gehaltsabrechnung!$C$2="Dezember",Gehaltsabrechnung!$G$45,O33)</f>
        <v>0</v>
      </c>
    </row>
    <row r="34" spans="2:15" ht="12.75">
      <c r="B34" s="184" t="s">
        <v>112</v>
      </c>
      <c r="C34" s="180">
        <f>SUM(D34:O34)</f>
        <v>5028.1</v>
      </c>
      <c r="D34" s="160">
        <f>IF(Gehaltsabrechnung!$C$2="Januar",Gehaltsabrechnung!$G$26,D34)</f>
        <v>2628.1000000000004</v>
      </c>
      <c r="E34" s="160">
        <f>IF(Gehaltsabrechnung!$C$2="Februar",Gehaltsabrechnung!$G$26,E34)</f>
        <v>2400</v>
      </c>
      <c r="F34" s="160">
        <f>IF(Gehaltsabrechnung!$C$2="März",Gehaltsabrechnung!$G$26,F34)</f>
        <v>0</v>
      </c>
      <c r="G34" s="160">
        <f>IF(Gehaltsabrechnung!$C$2="April",Gehaltsabrechnung!$G$26,G34)</f>
        <v>0</v>
      </c>
      <c r="H34" s="160">
        <f>IF(Gehaltsabrechnung!$C$2="Mai",Gehaltsabrechnung!$G$26,H34)</f>
        <v>0</v>
      </c>
      <c r="I34" s="160">
        <f>IF(Gehaltsabrechnung!$C$2="Juni",Gehaltsabrechnung!$G$26,I34)</f>
        <v>0</v>
      </c>
      <c r="J34" s="160">
        <f>IF(Gehaltsabrechnung!$C$2="Juli",Gehaltsabrechnung!$G$26,J34)</f>
        <v>0</v>
      </c>
      <c r="K34" s="160">
        <f>IF(Gehaltsabrechnung!$C$2="August",Gehaltsabrechnung!$G$26,K34)</f>
        <v>0</v>
      </c>
      <c r="L34" s="160">
        <f>IF(Gehaltsabrechnung!$C$2="September",Gehaltsabrechnung!$G$26,L34)</f>
        <v>0</v>
      </c>
      <c r="M34" s="160">
        <f>IF(Gehaltsabrechnung!$C$2="Oktober",Gehaltsabrechnung!$G$26,M34)</f>
        <v>0</v>
      </c>
      <c r="N34" s="160">
        <f>IF(Gehaltsabrechnung!$C$2="November",Gehaltsabrechnung!$G$26,N34)</f>
        <v>0</v>
      </c>
      <c r="O34" s="160">
        <f>IF(Gehaltsabrechnung!$C$2="Dezember",Gehaltsabrechnung!$G$26,O34)</f>
        <v>0</v>
      </c>
    </row>
    <row r="35" spans="2:15" ht="12.75">
      <c r="B35" s="184" t="s">
        <v>118</v>
      </c>
      <c r="C35" s="180">
        <f>SUM(D35:O35)</f>
        <v>2309.17</v>
      </c>
      <c r="D35" s="160">
        <f>IF(Gehaltsabrechnung!$C$2="Januar",Gehaltsabrechnung!$G$54,D35)</f>
        <v>1104.21</v>
      </c>
      <c r="E35" s="160">
        <f>IF(Gehaltsabrechnung!$C$2="Februar",Gehaltsabrechnung!$G$54,E35)</f>
        <v>1204.96</v>
      </c>
      <c r="F35" s="160">
        <f>IF(Gehaltsabrechnung!$C$2="März",Gehaltsabrechnung!$G$54,F35)</f>
        <v>0</v>
      </c>
      <c r="G35" s="160">
        <f>IF(Gehaltsabrechnung!$C$2="April",Gehaltsabrechnung!$G$54,G35)</f>
        <v>0</v>
      </c>
      <c r="H35" s="160">
        <f>IF(Gehaltsabrechnung!$C$2="Mai",Gehaltsabrechnung!$G$54,H35)</f>
        <v>0</v>
      </c>
      <c r="I35" s="160">
        <f>IF(Gehaltsabrechnung!$C$2="Juni",Gehaltsabrechnung!$G$54,I35)</f>
        <v>0</v>
      </c>
      <c r="J35" s="160">
        <f>IF(Gehaltsabrechnung!$C$2="Juli",Gehaltsabrechnung!$G$54,J35)</f>
        <v>0</v>
      </c>
      <c r="K35" s="160">
        <f>IF(Gehaltsabrechnung!$C$2="August",Gehaltsabrechnung!$G$54,K35)</f>
        <v>0</v>
      </c>
      <c r="L35" s="160">
        <f>IF(Gehaltsabrechnung!$C$2="September",Gehaltsabrechnung!$G$54,L35)</f>
        <v>0</v>
      </c>
      <c r="M35" s="160">
        <f>IF(Gehaltsabrechnung!$C$2="Oktober",Gehaltsabrechnung!$G$54,M35)</f>
        <v>0</v>
      </c>
      <c r="N35" s="160">
        <f>IF(Gehaltsabrechnung!$C$2="November",Gehaltsabrechnung!$G$54,N35)</f>
        <v>0</v>
      </c>
      <c r="O35" s="160">
        <f>IF(Gehaltsabrechnung!$C$2="Dezember",Gehaltsabrechnung!$G$54,O35)</f>
        <v>0</v>
      </c>
    </row>
    <row r="37" spans="2:13" ht="12.75">
      <c r="B37" s="261" t="s">
        <v>247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</row>
    <row r="38" ht="12" customHeight="1">
      <c r="L38" s="61"/>
    </row>
    <row r="39" ht="12" customHeight="1"/>
    <row r="40" ht="12" customHeight="1"/>
    <row r="41" ht="12" customHeight="1">
      <c r="F41" s="210"/>
    </row>
    <row r="42" ht="12" customHeight="1">
      <c r="G42" s="210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421875" style="0" customWidth="1"/>
    <col min="2" max="5" width="13.00390625" style="0" customWidth="1"/>
    <col min="6" max="6" width="20.140625" style="0" customWidth="1"/>
    <col min="7" max="7" width="21.140625" style="0" customWidth="1"/>
    <col min="8" max="11" width="13.00390625" style="0" hidden="1" customWidth="1"/>
    <col min="12" max="12" width="13.00390625" style="0" customWidth="1"/>
    <col min="13" max="13" width="4.00390625" style="0" customWidth="1"/>
  </cols>
  <sheetData>
    <row r="1" spans="1:13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4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>
      <c r="A3" s="54"/>
      <c r="B3" s="60" t="s">
        <v>263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>
      <c r="A5" s="54"/>
      <c r="B5" s="55" t="s">
        <v>82</v>
      </c>
      <c r="C5" s="56"/>
      <c r="D5" s="56"/>
      <c r="E5" s="56"/>
      <c r="F5" s="56"/>
      <c r="G5" s="54"/>
      <c r="H5" s="56"/>
      <c r="I5" s="56"/>
      <c r="J5" s="56"/>
      <c r="K5" s="56"/>
      <c r="L5" s="56"/>
      <c r="M5" s="56"/>
    </row>
    <row r="6" spans="1:13" ht="12.75">
      <c r="A6" s="54"/>
      <c r="B6" s="57"/>
      <c r="C6" s="57"/>
      <c r="D6" s="57"/>
      <c r="E6" s="57"/>
      <c r="F6" s="57"/>
      <c r="G6" s="57"/>
      <c r="H6" s="57"/>
      <c r="I6" s="57"/>
      <c r="J6" s="57"/>
      <c r="K6" s="57"/>
      <c r="L6" s="56"/>
      <c r="M6" s="56"/>
    </row>
    <row r="7" spans="1:13" ht="12.75">
      <c r="A7" s="54"/>
      <c r="B7" s="58" t="s">
        <v>0</v>
      </c>
      <c r="C7" s="57"/>
      <c r="D7" s="57"/>
      <c r="E7" s="57"/>
      <c r="F7" s="57"/>
      <c r="G7" s="57"/>
      <c r="H7" s="57"/>
      <c r="I7" s="57"/>
      <c r="J7" s="57"/>
      <c r="K7" s="57"/>
      <c r="L7" s="56"/>
      <c r="M7" s="56"/>
    </row>
    <row r="8" spans="1:13" ht="12.75">
      <c r="A8" s="54"/>
      <c r="B8" s="59" t="s">
        <v>3</v>
      </c>
      <c r="C8" s="57"/>
      <c r="D8" s="57"/>
      <c r="E8" s="57"/>
      <c r="F8" s="57"/>
      <c r="G8" s="57"/>
      <c r="H8" s="57"/>
      <c r="I8" s="57"/>
      <c r="J8" s="57"/>
      <c r="K8" s="57"/>
      <c r="L8" s="56"/>
      <c r="M8" s="56"/>
    </row>
    <row r="9" spans="1:13" ht="12.75">
      <c r="A9" s="54"/>
      <c r="B9" s="57"/>
      <c r="C9" s="57"/>
      <c r="D9" s="57"/>
      <c r="E9" s="57"/>
      <c r="F9" s="57"/>
      <c r="G9" s="57"/>
      <c r="H9" s="57"/>
      <c r="I9" s="57"/>
      <c r="J9" s="57"/>
      <c r="K9" s="57"/>
      <c r="L9" s="54"/>
      <c r="M9" s="54"/>
    </row>
    <row r="10" spans="1:13" ht="12.75">
      <c r="A10" s="54"/>
      <c r="B10" s="58" t="s">
        <v>2</v>
      </c>
      <c r="C10" s="57"/>
      <c r="D10" s="57"/>
      <c r="E10" s="57"/>
      <c r="F10" s="57"/>
      <c r="G10" s="57"/>
      <c r="H10" s="57"/>
      <c r="I10" s="57"/>
      <c r="J10" s="57"/>
      <c r="K10" s="57"/>
      <c r="L10" s="54"/>
      <c r="M10" s="54"/>
    </row>
    <row r="11" spans="1:13" ht="12.75">
      <c r="A11" s="54"/>
      <c r="B11" s="118" t="s">
        <v>230</v>
      </c>
      <c r="C11" s="57"/>
      <c r="D11" s="57"/>
      <c r="E11" s="57"/>
      <c r="F11" s="57"/>
      <c r="G11" s="57"/>
      <c r="H11" s="57"/>
      <c r="I11" s="57"/>
      <c r="J11" s="57"/>
      <c r="K11" s="57"/>
      <c r="L11" s="54"/>
      <c r="M11" s="54"/>
    </row>
    <row r="12" spans="1:13" ht="12.75">
      <c r="A12" s="54"/>
      <c r="B12" s="117" t="s">
        <v>231</v>
      </c>
      <c r="C12" s="57"/>
      <c r="D12" s="57"/>
      <c r="E12" s="57"/>
      <c r="F12" s="57"/>
      <c r="G12" s="57"/>
      <c r="H12" s="57"/>
      <c r="I12" s="57"/>
      <c r="J12" s="57"/>
      <c r="K12" s="57"/>
      <c r="L12" s="54"/>
      <c r="M12" s="54"/>
    </row>
    <row r="13" spans="1:13" ht="12.75">
      <c r="A13" s="54"/>
      <c r="B13" s="117" t="s">
        <v>232</v>
      </c>
      <c r="C13" s="57"/>
      <c r="D13" s="57"/>
      <c r="E13" s="57"/>
      <c r="F13" s="57"/>
      <c r="G13" s="57"/>
      <c r="H13" s="57"/>
      <c r="I13" s="57"/>
      <c r="J13" s="57"/>
      <c r="K13" s="57"/>
      <c r="L13" s="54"/>
      <c r="M13" s="54"/>
    </row>
    <row r="14" spans="1:13" ht="12.75">
      <c r="A14" s="54"/>
      <c r="B14" s="118" t="s">
        <v>233</v>
      </c>
      <c r="C14" s="57"/>
      <c r="D14" s="57"/>
      <c r="E14" s="57"/>
      <c r="F14" s="57"/>
      <c r="G14" s="57"/>
      <c r="H14" s="57"/>
      <c r="I14" s="57"/>
      <c r="J14" s="57"/>
      <c r="K14" s="57"/>
      <c r="L14" s="54"/>
      <c r="M14" s="54"/>
    </row>
    <row r="15" spans="1:13" ht="12.75">
      <c r="A15" s="54"/>
      <c r="B15" s="57" t="s">
        <v>88</v>
      </c>
      <c r="C15" s="57"/>
      <c r="D15" s="57"/>
      <c r="E15" s="57"/>
      <c r="F15" s="57"/>
      <c r="G15" s="57"/>
      <c r="H15" s="57"/>
      <c r="I15" s="57"/>
      <c r="J15" s="57"/>
      <c r="K15" s="57"/>
      <c r="L15" s="54"/>
      <c r="M15" s="54"/>
    </row>
    <row r="16" spans="1:13" ht="12.75">
      <c r="A16" s="54"/>
      <c r="B16" s="57" t="s">
        <v>135</v>
      </c>
      <c r="C16" s="57"/>
      <c r="D16" s="57"/>
      <c r="E16" s="57"/>
      <c r="F16" s="57"/>
      <c r="G16" s="57"/>
      <c r="H16" s="57"/>
      <c r="I16" s="57"/>
      <c r="J16" s="57"/>
      <c r="K16" s="57"/>
      <c r="L16" s="54"/>
      <c r="M16" s="54"/>
    </row>
    <row r="17" spans="1:13" ht="12.75">
      <c r="A17" s="54"/>
      <c r="B17" s="118" t="s">
        <v>126</v>
      </c>
      <c r="C17" s="57"/>
      <c r="D17" s="57"/>
      <c r="E17" s="57"/>
      <c r="F17" s="57"/>
      <c r="G17" s="57"/>
      <c r="H17" s="57"/>
      <c r="I17" s="57"/>
      <c r="J17" s="57"/>
      <c r="K17" s="57"/>
      <c r="L17" s="54"/>
      <c r="M17" s="54"/>
    </row>
    <row r="18" spans="1:13" ht="12.75">
      <c r="A18" s="54"/>
      <c r="B18" s="117" t="s">
        <v>124</v>
      </c>
      <c r="C18" s="57"/>
      <c r="D18" s="57"/>
      <c r="E18" s="57"/>
      <c r="F18" s="57"/>
      <c r="G18" s="57"/>
      <c r="H18" s="57"/>
      <c r="I18" s="57"/>
      <c r="J18" s="57"/>
      <c r="K18" s="57"/>
      <c r="L18" s="54"/>
      <c r="M18" s="54"/>
    </row>
    <row r="19" spans="1:13" ht="12.75" customHeight="1">
      <c r="A19" s="54"/>
      <c r="B19" s="117" t="s">
        <v>125</v>
      </c>
      <c r="C19" s="58"/>
      <c r="D19" s="58"/>
      <c r="E19" s="58"/>
      <c r="F19" s="57"/>
      <c r="G19" s="57"/>
      <c r="H19" s="57"/>
      <c r="I19" s="57"/>
      <c r="J19" s="57"/>
      <c r="K19" s="57"/>
      <c r="L19" s="54"/>
      <c r="M19" s="54"/>
    </row>
    <row r="20" spans="1:13" ht="13.5" customHeight="1">
      <c r="A20" s="54"/>
      <c r="B20" s="117" t="s">
        <v>127</v>
      </c>
      <c r="C20" s="58"/>
      <c r="D20" s="58"/>
      <c r="E20" s="58"/>
      <c r="F20" s="57"/>
      <c r="G20" s="57"/>
      <c r="H20" s="57"/>
      <c r="I20" s="57"/>
      <c r="J20" s="57"/>
      <c r="K20" s="57"/>
      <c r="L20" s="54"/>
      <c r="M20" s="54"/>
    </row>
    <row r="21" spans="1:13" ht="12.75" customHeight="1">
      <c r="A21" s="54"/>
      <c r="B21" s="58" t="s">
        <v>244</v>
      </c>
      <c r="C21" s="58"/>
      <c r="D21" s="58"/>
      <c r="E21" s="58"/>
      <c r="F21" s="57"/>
      <c r="G21" s="57"/>
      <c r="H21" s="57"/>
      <c r="I21" s="57"/>
      <c r="J21" s="57"/>
      <c r="K21" s="57"/>
      <c r="L21" s="54"/>
      <c r="M21" s="54"/>
    </row>
    <row r="22" spans="1:13" ht="6" customHeight="1">
      <c r="A22" s="54"/>
      <c r="B22" s="58"/>
      <c r="C22" s="58"/>
      <c r="D22" s="58"/>
      <c r="E22" s="58"/>
      <c r="F22" s="57"/>
      <c r="G22" s="57"/>
      <c r="H22" s="57"/>
      <c r="I22" s="57"/>
      <c r="J22" s="57"/>
      <c r="K22" s="57"/>
      <c r="L22" s="54"/>
      <c r="M22" s="54"/>
    </row>
    <row r="23" spans="1:13" ht="13.5" customHeight="1">
      <c r="A23" s="54"/>
      <c r="B23" s="178" t="s">
        <v>234</v>
      </c>
      <c r="C23" s="58"/>
      <c r="D23" s="58"/>
      <c r="E23" s="58"/>
      <c r="F23" s="57"/>
      <c r="G23" s="57"/>
      <c r="H23" s="57"/>
      <c r="I23" s="57"/>
      <c r="J23" s="57"/>
      <c r="K23" s="57"/>
      <c r="L23" s="54"/>
      <c r="M23" s="54"/>
    </row>
    <row r="24" spans="1:13" ht="13.5" customHeight="1">
      <c r="A24" s="54"/>
      <c r="B24" s="117" t="s">
        <v>235</v>
      </c>
      <c r="C24" s="57"/>
      <c r="D24" s="57"/>
      <c r="E24" s="57"/>
      <c r="F24" s="57"/>
      <c r="G24" s="57"/>
      <c r="H24" s="57"/>
      <c r="I24" s="57"/>
      <c r="J24" s="57"/>
      <c r="K24" s="57"/>
      <c r="L24" s="54"/>
      <c r="M24" s="54"/>
    </row>
    <row r="25" spans="1:13" ht="13.5" customHeight="1">
      <c r="A25" s="54"/>
      <c r="B25" s="117" t="s">
        <v>236</v>
      </c>
      <c r="C25" s="57"/>
      <c r="D25" s="57"/>
      <c r="E25" s="57"/>
      <c r="F25" s="57"/>
      <c r="G25" s="57"/>
      <c r="H25" s="57"/>
      <c r="I25" s="57"/>
      <c r="J25" s="57"/>
      <c r="K25" s="57"/>
      <c r="L25" s="54"/>
      <c r="M25" s="54"/>
    </row>
    <row r="26" spans="1:13" ht="6.75" customHeight="1">
      <c r="A26" s="54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4"/>
      <c r="M26" s="54"/>
    </row>
    <row r="27" spans="1:13" ht="12.75">
      <c r="A27" s="54"/>
      <c r="B27" s="119" t="s">
        <v>90</v>
      </c>
      <c r="C27" s="57"/>
      <c r="D27" s="57"/>
      <c r="E27" s="57"/>
      <c r="F27" s="57"/>
      <c r="G27" s="57"/>
      <c r="H27" s="57"/>
      <c r="I27" s="57"/>
      <c r="J27" s="57"/>
      <c r="K27" s="57"/>
      <c r="L27" s="54"/>
      <c r="M27" s="54"/>
    </row>
    <row r="28" spans="1:13" ht="12.75">
      <c r="A28" s="54"/>
      <c r="B28" s="118" t="s">
        <v>91</v>
      </c>
      <c r="C28" s="57"/>
      <c r="D28" s="57"/>
      <c r="E28" s="57"/>
      <c r="F28" s="57"/>
      <c r="G28" s="57"/>
      <c r="H28" s="57"/>
      <c r="I28" s="57"/>
      <c r="J28" s="57"/>
      <c r="K28" s="57"/>
      <c r="L28" s="54"/>
      <c r="M28" s="54"/>
    </row>
    <row r="29" spans="1:13" ht="12.75">
      <c r="A29" s="54"/>
      <c r="B29" s="58" t="s">
        <v>237</v>
      </c>
      <c r="C29" s="57"/>
      <c r="D29" s="57"/>
      <c r="E29" s="57"/>
      <c r="F29" s="57"/>
      <c r="G29" s="57"/>
      <c r="H29" s="57"/>
      <c r="I29" s="57"/>
      <c r="J29" s="57"/>
      <c r="K29" s="57"/>
      <c r="L29" s="54"/>
      <c r="M29" s="54"/>
    </row>
    <row r="30" spans="1:13" ht="12.75">
      <c r="A30" s="54"/>
      <c r="B30" s="117" t="s">
        <v>94</v>
      </c>
      <c r="C30" s="57"/>
      <c r="D30" s="57"/>
      <c r="E30" s="57"/>
      <c r="F30" s="57"/>
      <c r="G30" s="57"/>
      <c r="H30" s="57"/>
      <c r="I30" s="57"/>
      <c r="J30" s="57"/>
      <c r="K30" s="57"/>
      <c r="L30" s="54"/>
      <c r="M30" s="54"/>
    </row>
    <row r="31" spans="1:13" ht="12.75">
      <c r="A31" s="54"/>
      <c r="B31" s="117" t="s">
        <v>92</v>
      </c>
      <c r="C31" s="57"/>
      <c r="D31" s="57"/>
      <c r="E31" s="57"/>
      <c r="F31" s="57"/>
      <c r="G31" s="57"/>
      <c r="H31" s="57"/>
      <c r="I31" s="57"/>
      <c r="J31" s="57"/>
      <c r="K31" s="57"/>
      <c r="L31" s="54"/>
      <c r="M31" s="54"/>
    </row>
    <row r="32" spans="1:13" ht="12.75">
      <c r="A32" s="54"/>
      <c r="B32" s="117" t="s">
        <v>93</v>
      </c>
      <c r="C32" s="57"/>
      <c r="D32" s="57"/>
      <c r="E32" s="57"/>
      <c r="F32" s="57"/>
      <c r="G32" s="57"/>
      <c r="H32" s="57"/>
      <c r="I32" s="57"/>
      <c r="J32" s="57"/>
      <c r="K32" s="57"/>
      <c r="L32" s="54"/>
      <c r="M32" s="54"/>
    </row>
    <row r="33" spans="1:13" ht="12.75">
      <c r="A33" s="54"/>
      <c r="B33" s="117" t="s">
        <v>238</v>
      </c>
      <c r="C33" s="57"/>
      <c r="D33" s="57"/>
      <c r="E33" s="57"/>
      <c r="F33" s="57"/>
      <c r="G33" s="57"/>
      <c r="H33" s="57"/>
      <c r="I33" s="57"/>
      <c r="J33" s="57"/>
      <c r="K33" s="57"/>
      <c r="L33" s="54"/>
      <c r="M33" s="54"/>
    </row>
    <row r="34" spans="1:13" ht="12.75">
      <c r="A34" s="54"/>
      <c r="B34" s="118" t="s">
        <v>239</v>
      </c>
      <c r="C34" s="57"/>
      <c r="D34" s="57"/>
      <c r="E34" s="57"/>
      <c r="F34" s="57"/>
      <c r="G34" s="57"/>
      <c r="H34" s="57"/>
      <c r="I34" s="57"/>
      <c r="J34" s="57"/>
      <c r="K34" s="57"/>
      <c r="L34" s="54"/>
      <c r="M34" s="54"/>
    </row>
    <row r="35" spans="1:13" ht="12.75">
      <c r="A35" s="54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4"/>
      <c r="M35" s="54"/>
    </row>
    <row r="36" spans="1:13" ht="12.75">
      <c r="A36" s="54"/>
      <c r="B36" s="58" t="s">
        <v>1</v>
      </c>
      <c r="C36" s="57"/>
      <c r="D36" s="57"/>
      <c r="E36" s="57"/>
      <c r="F36" s="57"/>
      <c r="G36" s="57"/>
      <c r="H36" s="57"/>
      <c r="I36" s="57"/>
      <c r="J36" s="57"/>
      <c r="K36" s="57"/>
      <c r="L36" s="54"/>
      <c r="M36" s="54"/>
    </row>
    <row r="37" spans="1:13" ht="12.75">
      <c r="A37" s="54"/>
      <c r="B37" s="118" t="s">
        <v>240</v>
      </c>
      <c r="C37" s="57"/>
      <c r="D37" s="57"/>
      <c r="E37" s="57"/>
      <c r="F37" s="57"/>
      <c r="G37" s="57"/>
      <c r="H37" s="57"/>
      <c r="I37" s="57"/>
      <c r="J37" s="57"/>
      <c r="K37" s="57"/>
      <c r="L37" s="54"/>
      <c r="M37" s="54"/>
    </row>
    <row r="38" spans="1:13" ht="12.75">
      <c r="A38" s="54"/>
      <c r="B38" s="117" t="s">
        <v>241</v>
      </c>
      <c r="C38" s="57"/>
      <c r="D38" s="57"/>
      <c r="E38" s="57"/>
      <c r="F38" s="57"/>
      <c r="G38" s="57"/>
      <c r="H38" s="57"/>
      <c r="I38" s="57"/>
      <c r="J38" s="57"/>
      <c r="K38" s="57"/>
      <c r="L38" s="54"/>
      <c r="M38" s="54"/>
    </row>
    <row r="39" spans="1:13" ht="12.75">
      <c r="A39" s="54"/>
      <c r="B39" s="117" t="s">
        <v>242</v>
      </c>
      <c r="C39" s="57"/>
      <c r="D39" s="57"/>
      <c r="E39" s="57"/>
      <c r="F39" s="57"/>
      <c r="G39" s="57"/>
      <c r="H39" s="57"/>
      <c r="I39" s="57"/>
      <c r="J39" s="57"/>
      <c r="K39" s="57"/>
      <c r="L39" s="54"/>
      <c r="M39" s="54"/>
    </row>
    <row r="40" spans="1:13" ht="12.75">
      <c r="A40" s="54"/>
      <c r="B40" s="117" t="s">
        <v>243</v>
      </c>
      <c r="C40" s="54"/>
      <c r="D40" s="57"/>
      <c r="E40" s="57"/>
      <c r="F40" s="57"/>
      <c r="G40" s="57"/>
      <c r="H40" s="57"/>
      <c r="I40" s="57"/>
      <c r="J40" s="57"/>
      <c r="K40" s="57"/>
      <c r="L40" s="54"/>
      <c r="M40" s="54"/>
    </row>
    <row r="41" spans="1:13" ht="12.75">
      <c r="A41" s="54"/>
      <c r="B41" s="118" t="s">
        <v>246</v>
      </c>
      <c r="C41" s="54"/>
      <c r="D41" s="57"/>
      <c r="E41" s="57"/>
      <c r="F41" s="57"/>
      <c r="G41" s="57"/>
      <c r="H41" s="57"/>
      <c r="I41" s="57"/>
      <c r="J41" s="57"/>
      <c r="K41" s="57"/>
      <c r="L41" s="54"/>
      <c r="M41" s="54"/>
    </row>
    <row r="42" spans="1:13" ht="12.75">
      <c r="A42" s="54"/>
      <c r="B42" s="117" t="s">
        <v>245</v>
      </c>
      <c r="C42" s="54"/>
      <c r="D42" s="57"/>
      <c r="E42" s="57"/>
      <c r="F42" s="57"/>
      <c r="G42" s="57"/>
      <c r="H42" s="57"/>
      <c r="I42" s="57"/>
      <c r="J42" s="57"/>
      <c r="K42" s="57"/>
      <c r="L42" s="54"/>
      <c r="M42" s="54"/>
    </row>
    <row r="43" spans="1:13" ht="3.75" customHeight="1">
      <c r="A43" s="54"/>
      <c r="B43" s="5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12.75">
      <c r="A44" s="54"/>
      <c r="B44" s="301" t="s">
        <v>271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ht="12.75">
      <c r="A46" s="54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4"/>
      <c r="M46" s="54"/>
    </row>
    <row r="47" spans="2:11" s="259" customFormat="1" ht="12.75">
      <c r="B47" s="260"/>
      <c r="C47" s="260"/>
      <c r="D47" s="260"/>
      <c r="E47" s="260"/>
      <c r="F47" s="260"/>
      <c r="G47" s="260"/>
      <c r="H47" s="260"/>
      <c r="I47" s="260"/>
      <c r="J47" s="260"/>
      <c r="K47" s="260"/>
    </row>
    <row r="48" spans="2:11" s="259" customFormat="1" ht="12.75">
      <c r="B48" s="260"/>
      <c r="C48" s="260"/>
      <c r="D48" s="260"/>
      <c r="E48" s="260"/>
      <c r="F48" s="260"/>
      <c r="G48" s="260"/>
      <c r="H48" s="260"/>
      <c r="I48" s="260"/>
      <c r="J48" s="260"/>
      <c r="K48" s="260"/>
    </row>
    <row r="49" s="259" customFormat="1" ht="12.75"/>
    <row r="50" spans="2:11" s="259" customFormat="1" ht="12.75">
      <c r="B50" s="260"/>
      <c r="C50" s="260"/>
      <c r="D50" s="260"/>
      <c r="E50" s="260"/>
      <c r="F50" s="260"/>
      <c r="G50" s="260"/>
      <c r="H50" s="260"/>
      <c r="I50" s="260"/>
      <c r="J50" s="260"/>
      <c r="K50" s="260"/>
    </row>
    <row r="51" spans="2:11" ht="12.75">
      <c r="B51" s="53"/>
      <c r="C51" s="53"/>
      <c r="D51" s="53"/>
      <c r="E51" s="53"/>
      <c r="F51" s="53"/>
      <c r="G51" s="53"/>
      <c r="H51" s="53"/>
      <c r="I51" s="53"/>
      <c r="J51" s="53"/>
      <c r="K51" s="53"/>
    </row>
    <row r="52" spans="2:11" ht="12.75"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2:11" ht="12.75"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2:11" ht="12.75">
      <c r="B54" s="53"/>
      <c r="C54" s="53"/>
      <c r="D54" s="53"/>
      <c r="E54" s="53"/>
      <c r="F54" s="53"/>
      <c r="G54" s="53"/>
      <c r="H54" s="53"/>
      <c r="I54" s="53"/>
      <c r="J54" s="53"/>
      <c r="K54" s="53"/>
    </row>
    <row r="55" spans="2:11" ht="12.75">
      <c r="B55" s="53"/>
      <c r="C55" s="53"/>
      <c r="D55" s="53"/>
      <c r="E55" s="53"/>
      <c r="F55" s="53"/>
      <c r="G55" s="53"/>
      <c r="H55" s="53"/>
      <c r="I55" s="53"/>
      <c r="J55" s="53"/>
      <c r="K55" s="53"/>
    </row>
    <row r="56" spans="2:11" ht="12.75"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2:11" ht="12.75">
      <c r="B57" s="53"/>
      <c r="C57" s="53"/>
      <c r="D57" s="53"/>
      <c r="E57" s="53"/>
      <c r="F57" s="53"/>
      <c r="G57" s="53"/>
      <c r="H57" s="53"/>
      <c r="I57" s="53"/>
      <c r="J57" s="53"/>
      <c r="K57" s="53"/>
    </row>
    <row r="58" spans="2:11" ht="12.75"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pans="2:11" ht="12.75"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2:11" ht="12.75"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2:11" ht="12.75"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2:11" ht="12.75">
      <c r="B62" s="53"/>
      <c r="D62" s="53"/>
      <c r="E62" s="53"/>
      <c r="F62" s="53"/>
      <c r="G62" s="53"/>
      <c r="H62" s="53"/>
      <c r="I62" s="53"/>
      <c r="J62" s="53"/>
      <c r="K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Gehaltsabrechnung 2011</dc:title>
  <dc:subject>selbsrechnendes Gehaltsabrechnungs Formular in EXCEL mit Zellfunktionen</dc:subject>
  <dc:creator>Parmentier</dc:creator>
  <cp:keywords/>
  <dc:description/>
  <cp:lastModifiedBy>Wolfgang</cp:lastModifiedBy>
  <cp:lastPrinted>2011-07-29T10:58:32Z</cp:lastPrinted>
  <dcterms:created xsi:type="dcterms:W3CDTF">2000-03-16T14:16:40Z</dcterms:created>
  <dcterms:modified xsi:type="dcterms:W3CDTF">2012-01-05T10:20:20Z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