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firstSheet="3" activeTab="17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2"/>
          </rPr>
          <t>gewünschtes Jahr eingeben. Dadurch werden alle Blätter umgestellt auf das eingegeben Jahr.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<sst xmlns="http://schemas.openxmlformats.org/spreadsheetml/2006/main" count="642" uniqueCount="328">
  <si>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</si>
  <si>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</si>
  <si>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</si>
  <si>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</si>
  <si>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</si>
  <si>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</si>
  <si>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</si>
  <si>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</si>
  <si>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</si>
  <si>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</si>
  <si>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</si>
  <si>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</si>
  <si>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</si>
  <si>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</si>
  <si>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</si>
  <si>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</si>
  <si>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</si>
  <si>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</si>
  <si>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Die Sollstunden werden aus den für die einzelnen Wochentage angegeben Arbeitsstunden multipliziert mit der Anzahl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</si>
  <si>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</si>
  <si>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</si>
  <si>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</si>
  <si>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</si>
  <si>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</si>
  <si>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</si>
  <si>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</si>
  <si>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</si>
  <si>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</si>
  <si>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</si>
  <si>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</si>
  <si>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</si>
  <si>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</si>
  <si>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</si>
  <si>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</si>
  <si>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</si>
  <si>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</si>
  <si>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</si>
  <si>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</si>
  <si>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</si>
  <si>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</si>
  <si>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</si>
  <si>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</si>
  <si>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</si>
  <si>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</si>
  <si>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</si>
  <si>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</si>
  <si>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</si>
  <si>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</si>
  <si>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</si>
  <si>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</si>
  <si>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</si>
  <si>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</si>
  <si>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</si>
  <si>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</si>
  <si>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</si>
  <si>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</si>
  <si>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</si>
  <si>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</si>
  <si>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</si>
  <si>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</si>
  <si>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</si>
  <si>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</si>
  <si>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</si>
  <si>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</si>
  <si>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</si>
  <si>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</si>
  <si>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</si>
  <si>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</si>
  <si>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</si>
  <si>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</si>
  <si>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</si>
  <si>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</si>
  <si>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</si>
  <si>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</si>
  <si>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</si>
  <si>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</si>
  <si>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</si>
  <si>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</si>
  <si>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</si>
  <si>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</si>
  <si>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</si>
  <si>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</si>
  <si>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</si>
  <si>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</si>
  <si>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</si>
  <si>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</si>
  <si>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</si>
  <si>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</si>
  <si>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</si>
  <si>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</si>
  <si>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</si>
  <si>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</si>
  <si>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</si>
  <si>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</si>
  <si>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</si>
  <si>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</si>
  <si>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</si>
  <si>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</si>
  <si>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</si>
  <si>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</si>
  <si>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</si>
  <si>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</si>
  <si>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</si>
  <si>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</si>
  <si>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</si>
  <si>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</si>
  <si>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</si>
  <si>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</si>
  <si>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</si>
  <si>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</si>
  <si>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</si>
  <si>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</si>
  <si>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</si>
  <si>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U</t>
  </si>
  <si>
    <t>K</t>
  </si>
  <si>
    <t>verbl. Urlaubstage</t>
  </si>
  <si>
    <t>NU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</si>
  <si>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</si>
  <si>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</si>
  <si>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</si>
  <si>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</si>
  <si>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</si>
  <si>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</si>
  <si>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</si>
  <si>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Ostern</t>
  </si>
  <si>
    <t>Samstag</t>
  </si>
  <si>
    <t>Name:</t>
  </si>
  <si>
    <t>Strasse:</t>
  </si>
  <si>
    <t>PLZ/Ort:</t>
  </si>
  <si>
    <t>Kinder(lt. Lohnsteuerkarte)</t>
  </si>
  <si>
    <t>(Jahres)Lohnsteuerfreibetrag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</si>
  <si>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</si>
  <si>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</si>
  <si>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</si>
  <si>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</si>
  <si>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</si>
  <si>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</si>
  <si>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</si>
  <si>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</si>
  <si>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</si>
  <si>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</si>
  <si>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</si>
  <si>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</si>
  <si>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</si>
  <si>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</si>
  <si>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</si>
  <si>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</si>
  <si>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</si>
  <si>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</si>
  <si>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</si>
  <si>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</si>
  <si>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</si>
  <si>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</si>
  <si>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</si>
  <si>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</si>
  <si>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</si>
  <si>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</si>
  <si>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</si>
  <si>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</si>
  <si>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</si>
  <si>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</si>
  <si>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</si>
  <si>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</si>
  <si>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</si>
  <si>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</si>
  <si>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</si>
  <si>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</si>
  <si>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</si>
  <si>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</si>
  <si>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</si>
  <si>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</si>
  <si>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</si>
  <si>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</si>
  <si>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</si>
  <si>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</si>
  <si>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</si>
  <si>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</si>
  <si>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</si>
  <si>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</si>
  <si>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</si>
  <si>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</si>
  <si>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</si>
  <si>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</si>
  <si>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</si>
  <si>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</si>
  <si>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</si>
  <si>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</si>
  <si>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</si>
  <si>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</si>
  <si>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</si>
  <si>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</si>
  <si>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</si>
  <si>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</si>
  <si>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</si>
  <si>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</si>
  <si>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</si>
  <si>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</si>
  <si>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</si>
  <si>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</si>
  <si>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</si>
  <si>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</si>
  <si>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</si>
  <si>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</si>
  <si>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</si>
  <si>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</si>
  <si>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</si>
  <si>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</si>
  <si>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</si>
  <si>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</si>
  <si>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</si>
  <si>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</si>
  <si>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</si>
  <si>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</si>
  <si>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</si>
  <si>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</si>
  <si>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</si>
  <si>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</si>
  <si>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</si>
  <si>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</si>
  <si>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</si>
  <si>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</si>
  <si>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</si>
  <si>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</si>
  <si>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</si>
  <si>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gegeben ist, hier gleiche Anfangs- und Endzeit einsetzen. Dann berücksichtigt das Programm diese Sonderzeit nicht.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</si>
  <si>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</si>
  <si>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</si>
  <si>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</si>
  <si>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</si>
  <si>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</si>
  <si>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</si>
  <si>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</si>
  <si>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</si>
  <si>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</si>
  <si>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</si>
  <si>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</si>
  <si>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</si>
  <si>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</si>
  <si>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</si>
  <si>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</si>
  <si>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</si>
  <si>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</si>
  <si>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</si>
  <si>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</si>
  <si>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</si>
  <si>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</si>
  <si>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</si>
  <si>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</si>
  <si>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</si>
  <si>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</si>
  <si>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</si>
  <si>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</si>
  <si>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</si>
  <si>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</si>
  <si>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>Geburtsdatum T.M.JJJJ</t>
  </si>
  <si>
    <t>Umlage 2</t>
  </si>
  <si>
    <t>StdLohn</t>
  </si>
  <si>
    <t>Arbeitsstd</t>
  </si>
  <si>
    <t>1,5% Arbeitslosenversicherung</t>
  </si>
  <si>
    <t>Gehalt/Bruttolohn</t>
  </si>
  <si>
    <t xml:space="preserve">  der Bruttolohn errechnet.</t>
  </si>
  <si>
    <t>- Tabelle ist mit AutoForm geschütz. Zum Kopieren der Zellfunktionen Bereich mit rechter Maustaste aktivieren und wegschieben</t>
  </si>
  <si>
    <t>Insolvenzumlage 0,15%</t>
  </si>
  <si>
    <r>
      <t>Gleitzone (450-850€)</t>
    </r>
    <r>
      <rPr>
        <sz val="10"/>
        <rFont val="Arial"/>
        <family val="0"/>
      </rPr>
      <t xml:space="preserve"> nein=0, ja=1, </t>
    </r>
    <r>
      <rPr>
        <b/>
        <sz val="10"/>
        <rFont val="Arial"/>
        <family val="2"/>
      </rPr>
      <t>400-450€</t>
    </r>
    <r>
      <rPr>
        <sz val="10"/>
        <rFont val="Arial"/>
        <family val="0"/>
      </rPr>
      <t>=2</t>
    </r>
  </si>
  <si>
    <t>Sonderschicht I</t>
  </si>
  <si>
    <t>Sonderschicht II</t>
  </si>
  <si>
    <t>Lohnart: Bezeichnungen in weißen</t>
  </si>
  <si>
    <t>Feldern können frei gewählt werden.</t>
  </si>
  <si>
    <t>Bezeichnungen werden in Abrechnung</t>
  </si>
  <si>
    <t>übernommen.</t>
  </si>
  <si>
    <r>
      <t xml:space="preserve">  allem die monatlichen Stundennachweise hinsichtlich Feiertagen usw. an das neu eingegeben Jahr angepasst, </t>
    </r>
    <r>
      <rPr>
        <b/>
        <sz val="10"/>
        <rFont val="Arial"/>
        <family val="2"/>
      </rPr>
      <t xml:space="preserve">nicht </t>
    </r>
  </si>
  <si>
    <t xml:space="preserve">  Nachtzuschläge sowie für einen anderen Zuschlag (Beispiel Schichtarbeit). Wenn ein solcher Zuschlag nicht </t>
  </si>
  <si>
    <t>- Die geleisteten Arbeitsstunden werden aus dem jeweiligen Monats-Stundennachweis übernommen. Die dabei geleisteten</t>
  </si>
  <si>
    <t xml:space="preserve">  Überstunden müssen eingetragen werden. Die Übernahme der Nacht-, Sonntags-,   Feiertags- und Sonderarbeitsstunden</t>
  </si>
  <si>
    <t xml:space="preserve">  sowie die Krankheits-, Fortbildungs- und Urlaubstage werden aus dem jeweiligen Monatsblatt in die Gehaltsabrechnung</t>
  </si>
  <si>
    <t xml:space="preserve">  übernommen.</t>
  </si>
  <si>
    <t xml:space="preserve">- Außer den gelb unterlegten und den Arbeitsbezeichnungen sind die Zellen nicht zum Be-/Überschreiben. Die Werte werden  </t>
  </si>
  <si>
    <t xml:space="preserve">  geschrieben. Normalerweise wird mir dem Befehl-Button 'Lohnabrechnung' dieses Makro aufgerufen und anschließend das</t>
  </si>
  <si>
    <t xml:space="preserve">  Gehaltsabrechnung-Blatt. Um Urlaubsgeld, Weihnachtsgeld usw. zu berücksichtigen, muss nach Eintrag dieser Werte ins</t>
  </si>
  <si>
    <t xml:space="preserve">  Gehaltsabrechnung-Blatt der Befehl-Button 'neu berechnen' angeklickt werden. Dadurch erfolgt eine neue Steuer- und Sozialabgaben- </t>
  </si>
  <si>
    <t xml:space="preserve">  berechnung und die neuen Werte werden auch in das Lohnkonto übertragen.</t>
  </si>
  <si>
    <t xml:space="preserve">  formel von 2012 mit dem neuen Faktor für den Bereich von 400.01-450 € ebenso die Sozialversicherungsbeiträge errechnet.</t>
  </si>
  <si>
    <t xml:space="preserve">  Wochentags- (z.B.) Samstag- und Sonderarbeitszeit wird mit VBA-Funktionen im Makro 'Zeitberechnung' ermittelt, wobei </t>
  </si>
  <si>
    <t xml:space="preserve">  zunächst geprüft wird, ob an den Feier-, Sonn- und Samstagen des gewählten Monats eine Arbeitszeit zu ermitteln ist. Diese </t>
  </si>
  <si>
    <t xml:space="preserve">  werden dann addiert. Liegt der Feiertag auf einem Sonntag, wird keine Sonntagsarbeitszeit dafür errechnet. </t>
  </si>
  <si>
    <t xml:space="preserve">  'Zeitberechnung' entsprechend geändert werden (statt Wochentag 7 entsprechenden eintragen).</t>
  </si>
  <si>
    <t>- Wenn statt am Samstag an einem anderen Wochentag ein besonderer Lohnzuschlag bezahlt wird, muß das Makro</t>
  </si>
  <si>
    <t>- Die Sonderschichten I bzw. II müssen spätestens um 23:59 enden!</t>
  </si>
  <si>
    <t>Rentenanwartschaft nein=0 ja=1</t>
  </si>
  <si>
    <t>kinderlos</t>
  </si>
  <si>
    <t>Sachsen</t>
  </si>
  <si>
    <t>Neue Bundesländer</t>
  </si>
  <si>
    <t>Steuerklasse</t>
  </si>
  <si>
    <t>Zuschuß zur privaten Krankenversicherung</t>
  </si>
  <si>
    <t>die Zeilen 14 bis 16 sind zur Eingabe von</t>
  </si>
  <si>
    <t>Einmalzahlungen vorgesehen.</t>
  </si>
  <si>
    <t>in Zeile 22 werden nur geldwerte Vorteile</t>
  </si>
  <si>
    <t>berücksichtigt (kein Auszahlungsbetrag)</t>
  </si>
  <si>
    <t>Geringfügige Beschäftigung wird nicht be-</t>
  </si>
  <si>
    <t xml:space="preserve">rücksichtigt. </t>
  </si>
  <si>
    <t>Essenszuschuss</t>
  </si>
  <si>
    <t xml:space="preserve">                Lohnsteuer</t>
  </si>
  <si>
    <r>
      <t xml:space="preserve">  (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als Nachtarbeit) eingeben.</t>
    </r>
  </si>
  <si>
    <t xml:space="preserve">  Um die höhere Zuschläge bei Sonn- und Feiertagen zu berücksichtigen, statt Nachtarbeit geleistete Stunden als Tagesarbeit</t>
  </si>
  <si>
    <t>(Jahres)Lstfreibetrag</t>
  </si>
  <si>
    <t>(Jahres)LSthinzurechnungsbetrag</t>
  </si>
  <si>
    <t>- laufende geldwerte Vorteile (Dienstwagen usw.)</t>
  </si>
  <si>
    <t>schon abgerechnete Einmalzahlungen</t>
  </si>
  <si>
    <r>
      <rPr>
        <b/>
        <sz val="10"/>
        <rFont val="Arial"/>
        <family val="2"/>
      </rPr>
      <t>KV-Zusatzbeitrag</t>
    </r>
    <r>
      <rPr>
        <sz val="10"/>
        <rFont val="Arial"/>
        <family val="2"/>
      </rPr>
      <t xml:space="preserve"> % </t>
    </r>
    <r>
      <rPr>
        <b/>
        <sz val="10"/>
        <color indexed="60"/>
        <rFont val="Arial"/>
        <family val="2"/>
      </rPr>
      <t xml:space="preserve">bzw. PKV Basistarif </t>
    </r>
    <r>
      <rPr>
        <sz val="10"/>
        <color indexed="60"/>
        <rFont val="Arial"/>
        <family val="2"/>
      </rPr>
      <t>(incl. PV)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</si>
  <si>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Zur Sicherheit mindesten  2 x 'neu berechnen'</t>
  </si>
  <si>
    <t>anklicken (bis Werte unverändert bleiben).</t>
  </si>
  <si>
    <t>steuer@parmentier.de</t>
  </si>
  <si>
    <t xml:space="preserve">- Programm ist für 2015 angepasst. Durch Eingabe einer anderen Jahreszahl werden die Arbeitsmappen, d.h. vor </t>
  </si>
  <si>
    <t xml:space="preserve">  Statt dem Monatslohn werden vom Programm die Arbeitsstunden übernommen und mit dem Stundenlohn</t>
  </si>
  <si>
    <t xml:space="preserve">  jedoch die Steuerberechnung. </t>
  </si>
  <si>
    <t xml:space="preserve">  eingetragen. Dies erfolgt mit einem Makro (Teil des Makro Gehaltsrechner2015). Die jeweiligen Monatswerte werden beim </t>
  </si>
  <si>
    <t xml:space="preserve">  mit Zellfunktionen z.B aus dem Stammdaten-Blatt übernommen, bzw. mit Makro aus dem Gehaltsrechner2015-Makro hinein-</t>
  </si>
  <si>
    <r>
      <t xml:space="preserve">- </t>
    </r>
    <r>
      <rPr>
        <b/>
        <sz val="10"/>
        <rFont val="Arial"/>
        <family val="2"/>
      </rPr>
      <t>Gleitzone:</t>
    </r>
    <r>
      <rPr>
        <sz val="10"/>
        <rFont val="Arial"/>
        <family val="2"/>
      </rPr>
      <t xml:space="preserve">  Programm berücksichtigt 2015 eine Gleitzone von 450.01-850 €. Bei Eingabe von '2' werden nach der Berechnungs-</t>
    </r>
  </si>
  <si>
    <t>9,35 % RV mit Anwartschaft</t>
  </si>
  <si>
    <t>Lohn-/Gehaltsabrechnung 2015</t>
  </si>
  <si>
    <r>
      <t xml:space="preserve">Diese Version berücksichtigt den </t>
    </r>
    <r>
      <rPr>
        <sz val="10"/>
        <color indexed="10"/>
        <rFont val="Arial"/>
        <family val="2"/>
      </rPr>
      <t>PAP Dez 2015 vom 8. 9. 2015.</t>
    </r>
    <r>
      <rPr>
        <sz val="10"/>
        <rFont val="Arial"/>
        <family val="0"/>
      </rPr>
      <t xml:space="preserve"> Durch das KiFBG wurde der Grundfreibetrags, der </t>
    </r>
  </si>
  <si>
    <t>Kinderfreibetrag, das Kindergeld und der Kinderzuschlag rückwirkend zum 1. Januar 2015 verändert. Diese Änderung wird</t>
  </si>
  <si>
    <t>im Dezember berücksichtigt und die Differenz von der Lohn- und Kirchensteuer sowie dem Soli im Dezember abgezogen.</t>
  </si>
  <si>
    <t>Das Programm rechnet mit den Werten, welche im Lohnkonto hinterlegt sind. Die Zahlenwerte von Januar bis November können</t>
  </si>
  <si>
    <t xml:space="preserve">einfach in das neue Formular kopiert werden. Dadurch, dass mit den tatsächlichen monatlichen Zahlungen gerechnet wird, kann es </t>
  </si>
  <si>
    <t>auch bei im jeden Monat gleichen Lohn zu Abweicheungen im Centbereich im Vergleich zur Berechnung auf der Seite des BMF</t>
  </si>
  <si>
    <t>kommen. Diese Unterschiede lassen sich leider nicht ganz vermeiden.</t>
  </si>
  <si>
    <t xml:space="preserve">Version 04.01.2016  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</si>
</sst>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[$-F400]h:mm:ss\ AM/PM"/>
    <numFmt numFmtId="192" formatCode="h:mm;@"/>
    <numFmt numFmtId="193" formatCode="[$-407]dddd\,\ d\.\ mmmm\ yyyy"/>
    <numFmt numFmtId="194" formatCode="#,##0.00_ ;\-#,##0.00\ "/>
  </numFmts>
  <fonts count="10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sz val="10"/>
      <name val="Univers"/>
      <family val="2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2"/>
    </font>
    <font>
      <sz val="10"/>
      <color indexed="16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2"/>
    </font>
    <font>
      <b/>
      <sz val="7.5"/>
      <name val="Arial"/>
      <family val="2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10"/>
      <color indexed="58"/>
      <name val="Arial"/>
      <family val="2"/>
    </font>
    <font>
      <sz val="9"/>
      <color indexed="41"/>
      <name val="Arial"/>
      <family val="2"/>
    </font>
    <font>
      <u val="single"/>
      <sz val="10"/>
      <name val="Arial"/>
      <family val="2"/>
    </font>
    <font>
      <sz val="36"/>
      <name val="Arial Black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>
        <color indexed="5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52"/>
      </top>
      <bottom>
        <color indexed="63"/>
      </bottom>
    </border>
    <border>
      <left style="thin"/>
      <right style="thin"/>
      <top style="thin"/>
      <bottom style="thin">
        <color indexed="5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27" borderId="2" applyNumberFormat="0" applyAlignment="0" applyProtection="0"/>
    <xf numFmtId="0" fontId="95" fillId="0" borderId="3" applyNumberFormat="0" applyFill="0" applyAlignment="0" applyProtection="0"/>
    <xf numFmtId="0" fontId="9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21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6" fillId="33" borderId="10" applyNumberFormat="0" applyAlignment="0" applyProtection="0"/>
  </cellStyleXfs>
  <cellXfs count="677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0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4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28" xfId="0" applyNumberFormat="1" applyFont="1" applyBorder="1" applyAlignment="1">
      <alignment/>
    </xf>
    <xf numFmtId="184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4" fontId="31" fillId="0" borderId="30" xfId="0" applyNumberFormat="1" applyFont="1" applyBorder="1" applyAlignment="1">
      <alignment/>
    </xf>
    <xf numFmtId="183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3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3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0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180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2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0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0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79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2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5" fontId="32" fillId="41" borderId="0" xfId="0" applyNumberFormat="1" applyFont="1" applyFill="1" applyBorder="1" applyAlignment="1" applyProtection="1">
      <alignment horizontal="left"/>
      <protection/>
    </xf>
    <xf numFmtId="179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4" fontId="0" fillId="41" borderId="0" xfId="0" applyNumberFormat="1" applyFill="1" applyBorder="1" applyAlignment="1">
      <alignment/>
    </xf>
    <xf numFmtId="182" fontId="0" fillId="41" borderId="0" xfId="0" applyNumberFormat="1" applyFont="1" applyFill="1" applyBorder="1" applyAlignment="1" applyProtection="1">
      <alignment horizontal="left"/>
      <protection locked="0"/>
    </xf>
    <xf numFmtId="182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79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6" fontId="13" fillId="41" borderId="0" xfId="0" applyNumberFormat="1" applyFont="1" applyFill="1" applyAlignment="1">
      <alignment/>
    </xf>
    <xf numFmtId="179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183" fontId="0" fillId="42" borderId="31" xfId="0" applyNumberFormat="1" applyFont="1" applyFill="1" applyBorder="1" applyAlignment="1">
      <alignment horizontal="left" vertical="top"/>
    </xf>
    <xf numFmtId="183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3" fontId="0" fillId="42" borderId="33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3" fontId="0" fillId="35" borderId="36" xfId="0" applyNumberFormat="1" applyFont="1" applyFill="1" applyBorder="1" applyAlignment="1">
      <alignment horizontal="left" vertical="top"/>
    </xf>
    <xf numFmtId="183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175" fontId="0" fillId="35" borderId="0" xfId="0" applyNumberFormat="1" applyFont="1" applyFill="1" applyBorder="1" applyAlignment="1">
      <alignment horizontal="left"/>
    </xf>
    <xf numFmtId="0" fontId="31" fillId="35" borderId="39" xfId="0" applyFont="1" applyFill="1" applyBorder="1" applyAlignment="1">
      <alignment horizontal="center" vertical="center" wrapText="1"/>
    </xf>
    <xf numFmtId="183" fontId="31" fillId="35" borderId="32" xfId="0" applyNumberFormat="1" applyFont="1" applyFill="1" applyBorder="1" applyAlignment="1">
      <alignment horizontal="center" vertical="top"/>
    </xf>
    <xf numFmtId="183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6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3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0" fontId="34" fillId="35" borderId="0" xfId="0" applyNumberFormat="1" applyFont="1" applyFill="1" applyBorder="1" applyAlignment="1">
      <alignment/>
    </xf>
    <xf numFmtId="179" fontId="34" fillId="41" borderId="0" xfId="0" applyNumberFormat="1" applyFont="1" applyFill="1" applyAlignment="1" applyProtection="1">
      <alignment horizontal="right"/>
      <protection/>
    </xf>
    <xf numFmtId="179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3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3" fontId="44" fillId="42" borderId="44" xfId="0" applyNumberFormat="1" applyFont="1" applyFill="1" applyBorder="1" applyAlignment="1" applyProtection="1">
      <alignment horizontal="center"/>
      <protection/>
    </xf>
    <xf numFmtId="175" fontId="44" fillId="42" borderId="45" xfId="0" applyNumberFormat="1" applyFont="1" applyFill="1" applyBorder="1" applyAlignment="1">
      <alignment horizontal="left"/>
    </xf>
    <xf numFmtId="0" fontId="45" fillId="0" borderId="46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3" fontId="10" fillId="35" borderId="47" xfId="0" applyNumberFormat="1" applyFont="1" applyFill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>
      <alignment horizontal="left"/>
    </xf>
    <xf numFmtId="180" fontId="10" fillId="0" borderId="48" xfId="0" applyNumberFormat="1" applyFont="1" applyFill="1" applyBorder="1" applyAlignment="1">
      <alignment horizontal="center"/>
    </xf>
    <xf numFmtId="0" fontId="46" fillId="0" borderId="11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 quotePrefix="1">
      <alignment horizontal="center"/>
    </xf>
    <xf numFmtId="175" fontId="10" fillId="35" borderId="0" xfId="0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180" fontId="10" fillId="42" borderId="9" xfId="0" applyNumberFormat="1" applyFont="1" applyFill="1" applyBorder="1" applyAlignment="1">
      <alignment horizontal="center"/>
    </xf>
    <xf numFmtId="0" fontId="10" fillId="35" borderId="50" xfId="0" applyFont="1" applyFill="1" applyBorder="1" applyAlignment="1">
      <alignment horizontal="right"/>
    </xf>
    <xf numFmtId="180" fontId="10" fillId="41" borderId="9" xfId="0" applyNumberFormat="1" applyFont="1" applyFill="1" applyBorder="1" applyAlignment="1">
      <alignment horizontal="center"/>
    </xf>
    <xf numFmtId="0" fontId="38" fillId="35" borderId="9" xfId="0" applyFont="1" applyFill="1" applyBorder="1" applyAlignment="1">
      <alignment horizontal="right"/>
    </xf>
    <xf numFmtId="180" fontId="10" fillId="34" borderId="9" xfId="0" applyNumberFormat="1" applyFont="1" applyFill="1" applyBorder="1" applyAlignment="1">
      <alignment horizontal="center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5" fontId="10" fillId="0" borderId="48" xfId="0" applyNumberFormat="1" applyFont="1" applyFill="1" applyBorder="1" applyAlignment="1">
      <alignment horizontal="left"/>
    </xf>
    <xf numFmtId="173" fontId="10" fillId="35" borderId="44" xfId="0" applyNumberFormat="1" applyFont="1" applyFill="1" applyBorder="1" applyAlignment="1" applyProtection="1">
      <alignment horizontal="center"/>
      <protection/>
    </xf>
    <xf numFmtId="173" fontId="10" fillId="35" borderId="48" xfId="0" applyNumberFormat="1" applyFont="1" applyFill="1" applyBorder="1" applyAlignment="1" applyProtection="1">
      <alignment horizontal="center"/>
      <protection/>
    </xf>
    <xf numFmtId="0" fontId="47" fillId="41" borderId="0" xfId="0" applyFont="1" applyFill="1" applyAlignment="1">
      <alignment horizontal="left"/>
    </xf>
    <xf numFmtId="0" fontId="47" fillId="41" borderId="0" xfId="0" applyFont="1" applyFill="1" applyBorder="1" applyAlignment="1">
      <alignment horizontal="right"/>
    </xf>
    <xf numFmtId="173" fontId="10" fillId="42" borderId="44" xfId="0" applyNumberFormat="1" applyFont="1" applyFill="1" applyBorder="1" applyAlignment="1" applyProtection="1">
      <alignment horizontal="center"/>
      <protection/>
    </xf>
    <xf numFmtId="175" fontId="10" fillId="42" borderId="48" xfId="0" applyNumberFormat="1" applyFont="1" applyFill="1" applyBorder="1" applyAlignment="1">
      <alignment horizontal="left"/>
    </xf>
    <xf numFmtId="180" fontId="10" fillId="42" borderId="48" xfId="0" applyNumberFormat="1" applyFont="1" applyFill="1" applyBorder="1" applyAlignment="1">
      <alignment horizontal="center"/>
    </xf>
    <xf numFmtId="180" fontId="10" fillId="35" borderId="0" xfId="0" applyNumberFormat="1" applyFont="1" applyFill="1" applyBorder="1" applyAlignment="1">
      <alignment/>
    </xf>
    <xf numFmtId="173" fontId="10" fillId="0" borderId="47" xfId="0" applyNumberFormat="1" applyFont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 applyProtection="1">
      <alignment horizontal="left"/>
      <protection/>
    </xf>
    <xf numFmtId="180" fontId="10" fillId="35" borderId="48" xfId="0" applyNumberFormat="1" applyFont="1" applyFill="1" applyBorder="1" applyAlignment="1" applyProtection="1">
      <alignment horizontal="center"/>
      <protection/>
    </xf>
    <xf numFmtId="173" fontId="10" fillId="42" borderId="47" xfId="0" applyNumberFormat="1" applyFont="1" applyFill="1" applyBorder="1" applyAlignment="1" applyProtection="1">
      <alignment horizontal="center"/>
      <protection/>
    </xf>
    <xf numFmtId="180" fontId="10" fillId="35" borderId="48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1" xfId="0" applyNumberFormat="1" applyBorder="1" applyAlignment="1">
      <alignment/>
    </xf>
    <xf numFmtId="174" fontId="6" fillId="0" borderId="51" xfId="0" applyNumberFormat="1" applyFont="1" applyBorder="1" applyAlignment="1">
      <alignment/>
    </xf>
    <xf numFmtId="186" fontId="0" fillId="41" borderId="42" xfId="0" applyNumberFormat="1" applyFill="1" applyBorder="1" applyAlignment="1">
      <alignment/>
    </xf>
    <xf numFmtId="186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2" fontId="0" fillId="0" borderId="51" xfId="0" applyNumberFormat="1" applyFill="1" applyBorder="1" applyAlignment="1">
      <alignment/>
    </xf>
    <xf numFmtId="0" fontId="50" fillId="0" borderId="23" xfId="0" applyFont="1" applyFill="1" applyBorder="1" applyAlignment="1" applyProtection="1">
      <alignment horizontal="right"/>
      <protection hidden="1"/>
    </xf>
    <xf numFmtId="0" fontId="51" fillId="0" borderId="52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0" fontId="0" fillId="0" borderId="53" xfId="0" applyNumberFormat="1" applyFill="1" applyBorder="1" applyAlignment="1" applyProtection="1">
      <alignment horizontal="center"/>
      <protection locked="0"/>
    </xf>
    <xf numFmtId="173" fontId="52" fillId="35" borderId="0" xfId="0" applyNumberFormat="1" applyFont="1" applyFill="1" applyBorder="1" applyAlignment="1" applyProtection="1">
      <alignment horizontal="center"/>
      <protection/>
    </xf>
    <xf numFmtId="173" fontId="40" fillId="35" borderId="0" xfId="0" applyNumberFormat="1" applyFont="1" applyFill="1" applyBorder="1" applyAlignment="1" applyProtection="1">
      <alignment horizontal="center"/>
      <protection/>
    </xf>
    <xf numFmtId="0" fontId="0" fillId="35" borderId="50" xfId="0" applyFill="1" applyBorder="1" applyAlignment="1">
      <alignment horizontal="right"/>
    </xf>
    <xf numFmtId="0" fontId="0" fillId="35" borderId="42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3" fillId="0" borderId="54" xfId="0" applyFont="1" applyFill="1" applyBorder="1" applyAlignment="1" applyProtection="1">
      <alignment horizontal="right"/>
      <protection hidden="1"/>
    </xf>
    <xf numFmtId="0" fontId="53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4" fillId="0" borderId="54" xfId="0" applyFont="1" applyFill="1" applyBorder="1" applyAlignment="1" applyProtection="1">
      <alignment horizontal="right"/>
      <protection hidden="1"/>
    </xf>
    <xf numFmtId="0" fontId="54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4" fillId="0" borderId="62" xfId="0" applyNumberFormat="1" applyFont="1" applyFill="1" applyBorder="1" applyAlignment="1" applyProtection="1">
      <alignment/>
      <protection hidden="1"/>
    </xf>
    <xf numFmtId="1" fontId="54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9" xfId="0" applyNumberFormat="1" applyFont="1" applyFill="1" applyBorder="1" applyAlignment="1" quotePrefix="1">
      <alignment horizontal="center"/>
    </xf>
    <xf numFmtId="190" fontId="46" fillId="42" borderId="11" xfId="0" applyNumberFormat="1" applyFont="1" applyFill="1" applyBorder="1" applyAlignment="1" quotePrefix="1">
      <alignment horizontal="center"/>
    </xf>
    <xf numFmtId="190" fontId="46" fillId="0" borderId="11" xfId="0" applyNumberFormat="1" applyFont="1" applyFill="1" applyBorder="1" applyAlignment="1" quotePrefix="1">
      <alignment horizontal="center"/>
    </xf>
    <xf numFmtId="190" fontId="10" fillId="0" borderId="49" xfId="0" applyNumberFormat="1" applyFont="1" applyFill="1" applyBorder="1" applyAlignment="1" quotePrefix="1">
      <alignment horizontal="center"/>
    </xf>
    <xf numFmtId="190" fontId="10" fillId="35" borderId="42" xfId="0" applyNumberFormat="1" applyFont="1" applyFill="1" applyBorder="1" applyAlignment="1">
      <alignment horizontal="center"/>
    </xf>
    <xf numFmtId="190" fontId="45" fillId="0" borderId="46" xfId="0" applyNumberFormat="1" applyFont="1" applyFill="1" applyBorder="1" applyAlignment="1" quotePrefix="1">
      <alignment horizontal="center"/>
    </xf>
    <xf numFmtId="190" fontId="45" fillId="36" borderId="46" xfId="0" applyNumberFormat="1" applyFont="1" applyFill="1" applyBorder="1" applyAlignment="1" quotePrefix="1">
      <alignment horizontal="center"/>
    </xf>
    <xf numFmtId="190" fontId="10" fillId="42" borderId="49" xfId="0" applyNumberFormat="1" applyFont="1" applyFill="1" applyBorder="1" applyAlignment="1" quotePrefix="1">
      <alignment horizontal="center"/>
    </xf>
    <xf numFmtId="190" fontId="45" fillId="44" borderId="46" xfId="0" applyNumberFormat="1" applyFont="1" applyFill="1" applyBorder="1" applyAlignment="1" quotePrefix="1">
      <alignment horizontal="center"/>
    </xf>
    <xf numFmtId="190" fontId="10" fillId="44" borderId="9" xfId="0" applyNumberFormat="1" applyFont="1" applyFill="1" applyBorder="1" applyAlignment="1">
      <alignment horizontal="center"/>
    </xf>
    <xf numFmtId="190" fontId="10" fillId="35" borderId="67" xfId="0" applyNumberFormat="1" applyFont="1" applyFill="1" applyBorder="1" applyAlignment="1" applyProtection="1">
      <alignment horizontal="center"/>
      <protection/>
    </xf>
    <xf numFmtId="190" fontId="44" fillId="42" borderId="11" xfId="0" applyNumberFormat="1" applyFont="1" applyFill="1" applyBorder="1" applyAlignment="1" applyProtection="1">
      <alignment horizontal="center"/>
      <protection locked="0"/>
    </xf>
    <xf numFmtId="190" fontId="44" fillId="42" borderId="49" xfId="0" applyNumberFormat="1" applyFont="1" applyFill="1" applyBorder="1" applyAlignment="1" quotePrefix="1">
      <alignment horizontal="center"/>
    </xf>
    <xf numFmtId="190" fontId="10" fillId="0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left"/>
    </xf>
    <xf numFmtId="190" fontId="10" fillId="35" borderId="0" xfId="0" applyNumberFormat="1" applyFont="1" applyFill="1" applyBorder="1" applyAlignment="1">
      <alignment/>
    </xf>
    <xf numFmtId="190" fontId="10" fillId="42" borderId="9" xfId="0" applyNumberFormat="1" applyFont="1" applyFill="1" applyBorder="1" applyAlignment="1">
      <alignment horizontal="center"/>
    </xf>
    <xf numFmtId="190" fontId="10" fillId="41" borderId="9" xfId="0" applyNumberFormat="1" applyFont="1" applyFill="1" applyBorder="1" applyAlignment="1">
      <alignment horizontal="center"/>
    </xf>
    <xf numFmtId="190" fontId="10" fillId="34" borderId="9" xfId="0" applyNumberFormat="1" applyFont="1" applyFill="1" applyBorder="1" applyAlignment="1">
      <alignment horizontal="center"/>
    </xf>
    <xf numFmtId="190" fontId="28" fillId="0" borderId="13" xfId="0" applyNumberFormat="1" applyFont="1" applyFill="1" applyBorder="1" applyAlignment="1" applyProtection="1">
      <alignment/>
      <protection hidden="1"/>
    </xf>
    <xf numFmtId="190" fontId="28" fillId="0" borderId="68" xfId="0" applyNumberFormat="1" applyFont="1" applyFill="1" applyBorder="1" applyAlignment="1" applyProtection="1">
      <alignment/>
      <protection hidden="1"/>
    </xf>
    <xf numFmtId="190" fontId="51" fillId="0" borderId="13" xfId="0" applyNumberFormat="1" applyFont="1" applyFill="1" applyBorder="1" applyAlignment="1" applyProtection="1">
      <alignment/>
      <protection hidden="1"/>
    </xf>
    <xf numFmtId="190" fontId="51" fillId="0" borderId="69" xfId="0" applyNumberFormat="1" applyFont="1" applyFill="1" applyBorder="1" applyAlignment="1" applyProtection="1">
      <alignment/>
      <protection hidden="1"/>
    </xf>
    <xf numFmtId="190" fontId="28" fillId="0" borderId="69" xfId="0" applyNumberFormat="1" applyFont="1" applyFill="1" applyBorder="1" applyAlignment="1" applyProtection="1">
      <alignment/>
      <protection hidden="1"/>
    </xf>
    <xf numFmtId="190" fontId="53" fillId="0" borderId="70" xfId="0" applyNumberFormat="1" applyFont="1" applyFill="1" applyBorder="1" applyAlignment="1" applyProtection="1">
      <alignment/>
      <protection hidden="1"/>
    </xf>
    <xf numFmtId="190" fontId="53" fillId="0" borderId="71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4" fillId="35" borderId="29" xfId="54" applyFont="1" applyFill="1" applyBorder="1" applyAlignment="1" applyProtection="1">
      <alignment horizontal="right"/>
      <protection locked="0"/>
    </xf>
    <xf numFmtId="1" fontId="55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0" fillId="0" borderId="51" xfId="0" applyNumberFormat="1" applyBorder="1" applyAlignment="1">
      <alignment/>
    </xf>
    <xf numFmtId="0" fontId="56" fillId="35" borderId="4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4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4" fillId="0" borderId="77" xfId="0" applyNumberFormat="1" applyFont="1" applyFill="1" applyBorder="1" applyAlignment="1" applyProtection="1">
      <alignment/>
      <protection hidden="1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1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8" fillId="0" borderId="0" xfId="0" applyFont="1" applyAlignment="1">
      <alignment/>
    </xf>
    <xf numFmtId="0" fontId="59" fillId="43" borderId="0" xfId="0" applyFont="1" applyFill="1" applyAlignment="1">
      <alignment/>
    </xf>
    <xf numFmtId="14" fontId="59" fillId="43" borderId="0" xfId="0" applyNumberFormat="1" applyFont="1" applyFill="1" applyAlignment="1">
      <alignment horizontal="center"/>
    </xf>
    <xf numFmtId="0" fontId="59" fillId="43" borderId="0" xfId="0" applyFont="1" applyFill="1" applyAlignment="1">
      <alignment horizontal="center"/>
    </xf>
    <xf numFmtId="0" fontId="60" fillId="43" borderId="0" xfId="0" applyFont="1" applyFill="1" applyAlignment="1">
      <alignment/>
    </xf>
    <xf numFmtId="190" fontId="51" fillId="0" borderId="78" xfId="0" applyNumberFormat="1" applyFont="1" applyFill="1" applyBorder="1" applyAlignment="1" applyProtection="1">
      <alignment/>
      <protection hidden="1"/>
    </xf>
    <xf numFmtId="190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0" fontId="28" fillId="0" borderId="79" xfId="0" applyNumberFormat="1" applyFont="1" applyFill="1" applyBorder="1" applyAlignment="1" applyProtection="1">
      <alignment/>
      <protection hidden="1"/>
    </xf>
    <xf numFmtId="190" fontId="51" fillId="0" borderId="79" xfId="0" applyNumberFormat="1" applyFont="1" applyFill="1" applyBorder="1" applyAlignment="1" applyProtection="1">
      <alignment/>
      <protection hidden="1"/>
    </xf>
    <xf numFmtId="190" fontId="28" fillId="0" borderId="51" xfId="0" applyNumberFormat="1" applyFont="1" applyFill="1" applyBorder="1" applyAlignment="1" applyProtection="1">
      <alignment/>
      <protection hidden="1"/>
    </xf>
    <xf numFmtId="190" fontId="6" fillId="0" borderId="79" xfId="0" applyNumberFormat="1" applyFont="1" applyFill="1" applyBorder="1" applyAlignment="1" applyProtection="1">
      <alignment/>
      <protection hidden="1"/>
    </xf>
    <xf numFmtId="190" fontId="6" fillId="0" borderId="80" xfId="0" applyNumberFormat="1" applyFont="1" applyFill="1" applyBorder="1" applyAlignment="1" applyProtection="1">
      <alignment/>
      <protection hidden="1"/>
    </xf>
    <xf numFmtId="190" fontId="28" fillId="0" borderId="81" xfId="0" applyNumberFormat="1" applyFont="1" applyFill="1" applyBorder="1" applyAlignment="1" applyProtection="1">
      <alignment/>
      <protection hidden="1"/>
    </xf>
    <xf numFmtId="0" fontId="61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1" fontId="64" fillId="45" borderId="9" xfId="47" applyNumberFormat="1" applyFont="1" applyFill="1" applyBorder="1" applyAlignment="1" applyProtection="1">
      <alignment/>
      <protection/>
    </xf>
    <xf numFmtId="181" fontId="64" fillId="45" borderId="9" xfId="61" applyNumberFormat="1" applyFont="1" applyFill="1" applyBorder="1" applyAlignment="1" applyProtection="1">
      <alignment/>
      <protection/>
    </xf>
    <xf numFmtId="178" fontId="64" fillId="45" borderId="9" xfId="47" applyFont="1" applyFill="1" applyBorder="1" applyAlignment="1" applyProtection="1">
      <alignment/>
      <protection locked="0"/>
    </xf>
    <xf numFmtId="0" fontId="43" fillId="35" borderId="0" xfId="0" applyFont="1" applyFill="1" applyAlignment="1" applyProtection="1">
      <alignment horizontal="centerContinuous"/>
      <protection/>
    </xf>
    <xf numFmtId="170" fontId="43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2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1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79" fontId="64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4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4" fillId="35" borderId="9" xfId="61" applyNumberFormat="1" applyFont="1" applyFill="1" applyBorder="1" applyAlignment="1" applyProtection="1">
      <alignment horizontal="center"/>
      <protection/>
    </xf>
    <xf numFmtId="0" fontId="64" fillId="35" borderId="5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/>
    </xf>
    <xf numFmtId="1" fontId="64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4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0" fontId="64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2" xfId="0" applyFont="1" applyFill="1" applyBorder="1" applyAlignment="1" applyProtection="1">
      <alignment/>
      <protection/>
    </xf>
    <xf numFmtId="46" fontId="44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1" fontId="64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1" fontId="64" fillId="35" borderId="28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81" fontId="64" fillId="35" borderId="9" xfId="0" applyNumberFormat="1" applyFont="1" applyFill="1" applyBorder="1" applyAlignment="1" applyProtection="1">
      <alignment horizontal="center"/>
      <protection/>
    </xf>
    <xf numFmtId="7" fontId="64" fillId="35" borderId="9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1" fontId="63" fillId="35" borderId="9" xfId="47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0" fontId="64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0" fontId="64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9" fontId="64" fillId="35" borderId="9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78" fontId="64" fillId="35" borderId="9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178" fontId="63" fillId="35" borderId="42" xfId="47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0" fontId="64" fillId="35" borderId="28" xfId="61" applyFont="1" applyFill="1" applyBorder="1" applyAlignment="1" applyProtection="1">
      <alignment/>
      <protection/>
    </xf>
    <xf numFmtId="181" fontId="64" fillId="35" borderId="29" xfId="61" applyNumberFormat="1" applyFont="1" applyFill="1" applyBorder="1" applyAlignment="1" applyProtection="1">
      <alignment horizontal="center"/>
      <protection locked="0"/>
    </xf>
    <xf numFmtId="181" fontId="0" fillId="35" borderId="51" xfId="61" applyNumberFormat="1" applyFont="1" applyFill="1" applyBorder="1" applyAlignment="1" applyProtection="1">
      <alignment/>
      <protection locked="0"/>
    </xf>
    <xf numFmtId="7" fontId="64" fillId="35" borderId="38" xfId="0" applyNumberFormat="1" applyFont="1" applyFill="1" applyBorder="1" applyAlignment="1" applyProtection="1">
      <alignment horizontal="right"/>
      <protection locked="0"/>
    </xf>
    <xf numFmtId="181" fontId="64" fillId="35" borderId="37" xfId="0" applyNumberFormat="1" applyFont="1" applyFill="1" applyBorder="1" applyAlignment="1" applyProtection="1">
      <alignment horizontal="center"/>
      <protection/>
    </xf>
    <xf numFmtId="181" fontId="0" fillId="35" borderId="51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81" fontId="0" fillId="35" borderId="12" xfId="0" applyNumberFormat="1" applyFill="1" applyBorder="1" applyAlignment="1" applyProtection="1">
      <alignment/>
      <protection/>
    </xf>
    <xf numFmtId="178" fontId="64" fillId="35" borderId="28" xfId="47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64" fillId="35" borderId="0" xfId="47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0" fontId="61" fillId="0" borderId="0" xfId="0" applyFont="1" applyAlignment="1">
      <alignment horizontal="center"/>
    </xf>
    <xf numFmtId="0" fontId="67" fillId="35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34" fillId="35" borderId="0" xfId="0" applyFont="1" applyFill="1" applyBorder="1" applyAlignment="1" applyProtection="1">
      <alignment horizontal="left"/>
      <protection hidden="1"/>
    </xf>
    <xf numFmtId="0" fontId="68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61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6" borderId="9" xfId="0" applyFont="1" applyFill="1" applyBorder="1" applyAlignment="1" applyProtection="1">
      <alignment horizontal="center" vertical="center" wrapText="1"/>
      <protection hidden="1"/>
    </xf>
    <xf numFmtId="0" fontId="33" fillId="46" borderId="38" xfId="0" applyFont="1" applyFill="1" applyBorder="1" applyAlignment="1" applyProtection="1">
      <alignment horizontal="center" vertical="center" wrapText="1"/>
      <protection hidden="1"/>
    </xf>
    <xf numFmtId="1" fontId="33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64" fillId="35" borderId="0" xfId="0" applyFont="1" applyFill="1" applyBorder="1" applyAlignment="1" applyProtection="1">
      <alignment horizontal="left"/>
      <protection hidden="1"/>
    </xf>
    <xf numFmtId="0" fontId="4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190" fontId="10" fillId="47" borderId="0" xfId="0" applyNumberFormat="1" applyFont="1" applyFill="1" applyBorder="1" applyAlignment="1">
      <alignment horizontal="center"/>
    </xf>
    <xf numFmtId="0" fontId="0" fillId="43" borderId="0" xfId="0" applyFont="1" applyFill="1" applyAlignment="1" quotePrefix="1">
      <alignment horizontal="left" vertical="top"/>
    </xf>
    <xf numFmtId="192" fontId="46" fillId="0" borderId="11" xfId="0" applyNumberFormat="1" applyFont="1" applyFill="1" applyBorder="1" applyAlignment="1" quotePrefix="1">
      <alignment horizontal="center"/>
    </xf>
    <xf numFmtId="192" fontId="45" fillId="36" borderId="46" xfId="0" applyNumberFormat="1" applyFont="1" applyFill="1" applyBorder="1" applyAlignment="1" quotePrefix="1">
      <alignment horizontal="center"/>
    </xf>
    <xf numFmtId="172" fontId="0" fillId="48" borderId="11" xfId="0" applyNumberFormat="1" applyFill="1" applyBorder="1" applyAlignment="1" applyProtection="1">
      <alignment horizontal="center"/>
      <protection locked="0"/>
    </xf>
    <xf numFmtId="0" fontId="0" fillId="49" borderId="0" xfId="0" applyFill="1" applyAlignment="1">
      <alignment/>
    </xf>
    <xf numFmtId="190" fontId="64" fillId="35" borderId="9" xfId="61" applyNumberFormat="1" applyFont="1" applyFill="1" applyBorder="1" applyAlignment="1" applyProtection="1">
      <alignment/>
      <protection/>
    </xf>
    <xf numFmtId="190" fontId="64" fillId="35" borderId="29" xfId="61" applyNumberFormat="1" applyFont="1" applyFill="1" applyBorder="1" applyAlignment="1" applyProtection="1">
      <alignment horizontal="center"/>
      <protection locked="0"/>
    </xf>
    <xf numFmtId="190" fontId="64" fillId="35" borderId="37" xfId="0" applyNumberFormat="1" applyFont="1" applyFill="1" applyBorder="1" applyAlignment="1" applyProtection="1">
      <alignment horizontal="center"/>
      <protection/>
    </xf>
    <xf numFmtId="190" fontId="64" fillId="35" borderId="9" xfId="0" applyNumberFormat="1" applyFont="1" applyFill="1" applyBorder="1" applyAlignment="1" applyProtection="1">
      <alignment horizontal="center"/>
      <protection/>
    </xf>
    <xf numFmtId="178" fontId="64" fillId="50" borderId="9" xfId="47" applyFont="1" applyFill="1" applyBorder="1" applyAlignment="1" applyProtection="1">
      <alignment/>
      <protection locked="0"/>
    </xf>
    <xf numFmtId="190" fontId="64" fillId="50" borderId="9" xfId="0" applyNumberFormat="1" applyFont="1" applyFill="1" applyBorder="1" applyAlignment="1" applyProtection="1">
      <alignment horizontal="center"/>
      <protection/>
    </xf>
    <xf numFmtId="0" fontId="1" fillId="35" borderId="82" xfId="0" applyFont="1" applyFill="1" applyBorder="1" applyAlignment="1" applyProtection="1">
      <alignment/>
      <protection/>
    </xf>
    <xf numFmtId="0" fontId="36" fillId="0" borderId="41" xfId="0" applyFont="1" applyBorder="1" applyAlignment="1">
      <alignment horizontal="right" vertical="top" wrapText="1"/>
    </xf>
    <xf numFmtId="189" fontId="64" fillId="35" borderId="42" xfId="47" applyNumberFormat="1" applyFont="1" applyFill="1" applyBorder="1" applyAlignment="1" applyProtection="1">
      <alignment horizontal="right"/>
      <protection locked="0"/>
    </xf>
    <xf numFmtId="189" fontId="63" fillId="35" borderId="9" xfId="47" applyNumberFormat="1" applyFont="1" applyFill="1" applyBorder="1" applyAlignment="1" applyProtection="1">
      <alignment/>
      <protection locked="0"/>
    </xf>
    <xf numFmtId="189" fontId="63" fillId="35" borderId="9" xfId="47" applyNumberFormat="1" applyFont="1" applyFill="1" applyBorder="1" applyAlignment="1" applyProtection="1">
      <alignment/>
      <protection/>
    </xf>
    <xf numFmtId="0" fontId="0" fillId="47" borderId="0" xfId="0" applyFill="1" applyBorder="1" applyAlignment="1" applyProtection="1">
      <alignment horizontal="center" vertical="center"/>
      <protection locked="0"/>
    </xf>
    <xf numFmtId="0" fontId="0" fillId="47" borderId="0" xfId="0" applyFill="1" applyAlignment="1">
      <alignment horizontal="center" vertical="center"/>
    </xf>
    <xf numFmtId="0" fontId="70" fillId="35" borderId="0" xfId="0" applyFont="1" applyFill="1" applyBorder="1" applyAlignment="1" applyProtection="1">
      <alignment/>
      <protection/>
    </xf>
    <xf numFmtId="172" fontId="0" fillId="0" borderId="83" xfId="0" applyNumberFormat="1" applyFill="1" applyBorder="1" applyAlignment="1" applyProtection="1">
      <alignment horizontal="center"/>
      <protection locked="0"/>
    </xf>
    <xf numFmtId="172" fontId="0" fillId="0" borderId="84" xfId="0" applyNumberFormat="1" applyFill="1" applyBorder="1" applyAlignment="1" applyProtection="1">
      <alignment horizontal="center"/>
      <protection locked="0"/>
    </xf>
    <xf numFmtId="172" fontId="0" fillId="0" borderId="42" xfId="0" applyNumberFormat="1" applyFill="1" applyBorder="1" applyAlignment="1" applyProtection="1">
      <alignment horizontal="center"/>
      <protection locked="0"/>
    </xf>
    <xf numFmtId="190" fontId="64" fillId="0" borderId="29" xfId="6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0" fillId="47" borderId="0" xfId="0" applyFill="1" applyBorder="1" applyAlignment="1" applyProtection="1">
      <alignment horizontal="right"/>
      <protection locked="0"/>
    </xf>
    <xf numFmtId="0" fontId="0" fillId="47" borderId="0" xfId="0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0" fillId="51" borderId="0" xfId="0" applyFont="1" applyFill="1" applyBorder="1" applyAlignment="1">
      <alignment horizontal="right"/>
    </xf>
    <xf numFmtId="170" fontId="64" fillId="35" borderId="9" xfId="61" applyFont="1" applyFill="1" applyBorder="1" applyAlignment="1" applyProtection="1">
      <alignment/>
      <protection/>
    </xf>
    <xf numFmtId="0" fontId="71" fillId="35" borderId="0" xfId="0" applyFont="1" applyFill="1" applyAlignment="1" applyProtection="1">
      <alignment horizontal="center"/>
      <protection/>
    </xf>
    <xf numFmtId="0" fontId="0" fillId="13" borderId="51" xfId="0" applyNumberFormat="1" applyFill="1" applyBorder="1" applyAlignment="1">
      <alignment/>
    </xf>
    <xf numFmtId="0" fontId="0" fillId="13" borderId="42" xfId="0" applyNumberFormat="1" applyFill="1" applyBorder="1" applyAlignment="1">
      <alignment/>
    </xf>
    <xf numFmtId="0" fontId="10" fillId="52" borderId="37" xfId="0" applyFont="1" applyFill="1" applyBorder="1" applyAlignment="1">
      <alignment horizontal="right"/>
    </xf>
    <xf numFmtId="0" fontId="10" fillId="52" borderId="38" xfId="0" applyFont="1" applyFill="1" applyBorder="1" applyAlignment="1">
      <alignment horizontal="right"/>
    </xf>
    <xf numFmtId="0" fontId="10" fillId="47" borderId="0" xfId="0" applyFont="1" applyFill="1" applyAlignment="1">
      <alignment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80" xfId="0" applyNumberFormat="1" applyFont="1" applyFill="1" applyBorder="1" applyAlignment="1" applyProtection="1">
      <alignment/>
      <protection hidden="1"/>
    </xf>
    <xf numFmtId="2" fontId="9" fillId="0" borderId="80" xfId="0" applyNumberFormat="1" applyFont="1" applyFill="1" applyBorder="1" applyAlignment="1" applyProtection="1">
      <alignment/>
      <protection hidden="1"/>
    </xf>
    <xf numFmtId="2" fontId="9" fillId="0" borderId="85" xfId="0" applyNumberFormat="1" applyFont="1" applyFill="1" applyBorder="1" applyAlignment="1" applyProtection="1">
      <alignment/>
      <protection hidden="1"/>
    </xf>
    <xf numFmtId="2" fontId="9" fillId="0" borderId="51" xfId="0" applyNumberFormat="1" applyFont="1" applyFill="1" applyBorder="1" applyAlignment="1" applyProtection="1">
      <alignment/>
      <protection hidden="1"/>
    </xf>
    <xf numFmtId="2" fontId="9" fillId="0" borderId="68" xfId="0" applyNumberFormat="1" applyFont="1" applyFill="1" applyBorder="1" applyAlignment="1" applyProtection="1">
      <alignment/>
      <protection hidden="1"/>
    </xf>
    <xf numFmtId="181" fontId="64" fillId="50" borderId="9" xfId="0" applyNumberFormat="1" applyFont="1" applyFill="1" applyBorder="1" applyAlignment="1" applyProtection="1">
      <alignment horizontal="center"/>
      <protection/>
    </xf>
    <xf numFmtId="7" fontId="64" fillId="50" borderId="9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/>
      <protection/>
    </xf>
    <xf numFmtId="0" fontId="34" fillId="41" borderId="0" xfId="0" applyFont="1" applyFill="1" applyBorder="1" applyAlignment="1" applyProtection="1">
      <alignment horizontal="left"/>
      <protection/>
    </xf>
    <xf numFmtId="0" fontId="73" fillId="41" borderId="0" xfId="0" applyFont="1" applyFill="1" applyBorder="1" applyAlignment="1" applyProtection="1">
      <alignment/>
      <protection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182" fontId="0" fillId="41" borderId="27" xfId="0" applyNumberFormat="1" applyFill="1" applyBorder="1" applyAlignment="1">
      <alignment horizontal="left"/>
    </xf>
    <xf numFmtId="0" fontId="0" fillId="42" borderId="28" xfId="0" applyFill="1" applyBorder="1" applyAlignment="1">
      <alignment/>
    </xf>
    <xf numFmtId="0" fontId="0" fillId="0" borderId="28" xfId="0" applyFill="1" applyBorder="1" applyAlignment="1">
      <alignment/>
    </xf>
    <xf numFmtId="0" fontId="37" fillId="42" borderId="28" xfId="0" applyFont="1" applyFill="1" applyBorder="1" applyAlignment="1">
      <alignment/>
    </xf>
    <xf numFmtId="182" fontId="0" fillId="41" borderId="27" xfId="0" applyNumberFormat="1" applyFont="1" applyFill="1" applyBorder="1" applyAlignment="1" applyProtection="1">
      <alignment horizontal="left"/>
      <protection locked="0"/>
    </xf>
    <xf numFmtId="182" fontId="0" fillId="41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>
      <alignment horizontal="left" vertical="top"/>
    </xf>
    <xf numFmtId="0" fontId="37" fillId="42" borderId="28" xfId="0" applyFont="1" applyFill="1" applyBorder="1" applyAlignment="1">
      <alignment horizontal="left" vertical="top"/>
    </xf>
    <xf numFmtId="182" fontId="0" fillId="41" borderId="29" xfId="0" applyNumberFormat="1" applyFill="1" applyBorder="1" applyAlignment="1">
      <alignment horizontal="left"/>
    </xf>
    <xf numFmtId="0" fontId="0" fillId="41" borderId="12" xfId="0" applyFill="1" applyBorder="1" applyAlignment="1" applyProtection="1">
      <alignment horizontal="left"/>
      <protection locked="0"/>
    </xf>
    <xf numFmtId="0" fontId="0" fillId="41" borderId="12" xfId="0" applyFill="1" applyBorder="1" applyAlignment="1">
      <alignment/>
    </xf>
    <xf numFmtId="0" fontId="37" fillId="42" borderId="30" xfId="0" applyFont="1" applyFill="1" applyBorder="1" applyAlignment="1">
      <alignment/>
    </xf>
    <xf numFmtId="182" fontId="0" fillId="41" borderId="24" xfId="0" applyNumberFormat="1" applyFill="1" applyBorder="1" applyAlignment="1">
      <alignment horizontal="left"/>
    </xf>
    <xf numFmtId="0" fontId="0" fillId="41" borderId="25" xfId="0" applyFill="1" applyBorder="1" applyAlignment="1" applyProtection="1">
      <alignment horizontal="left"/>
      <protection locked="0"/>
    </xf>
    <xf numFmtId="0" fontId="0" fillId="41" borderId="25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27" xfId="0" applyFont="1" applyFill="1" applyBorder="1" applyAlignment="1" applyProtection="1">
      <alignment horizontal="right"/>
      <protection locked="0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41" borderId="27" xfId="0" applyFill="1" applyBorder="1" applyAlignment="1" applyProtection="1">
      <alignment horizontal="right"/>
      <protection locked="0"/>
    </xf>
    <xf numFmtId="0" fontId="0" fillId="47" borderId="29" xfId="0" applyFill="1" applyBorder="1" applyAlignment="1" applyProtection="1">
      <alignment horizontal="right"/>
      <protection locked="0"/>
    </xf>
    <xf numFmtId="0" fontId="0" fillId="47" borderId="12" xfId="0" applyFill="1" applyBorder="1" applyAlignment="1" applyProtection="1">
      <alignment horizontal="right"/>
      <protection locked="0"/>
    </xf>
    <xf numFmtId="0" fontId="1" fillId="34" borderId="24" xfId="0" applyFont="1" applyFill="1" applyBorder="1" applyAlignment="1">
      <alignment horizontal="left"/>
    </xf>
    <xf numFmtId="0" fontId="0" fillId="34" borderId="25" xfId="0" applyFill="1" applyBorder="1" applyAlignment="1">
      <alignment horizontal="right"/>
    </xf>
    <xf numFmtId="186" fontId="0" fillId="0" borderId="84" xfId="0" applyNumberForma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right"/>
    </xf>
    <xf numFmtId="0" fontId="0" fillId="41" borderId="27" xfId="0" applyFill="1" applyBorder="1" applyAlignment="1">
      <alignment horizontal="right"/>
    </xf>
    <xf numFmtId="0" fontId="0" fillId="51" borderId="27" xfId="0" applyFill="1" applyBorder="1" applyAlignment="1">
      <alignment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41" borderId="12" xfId="0" applyFont="1" applyFill="1" applyBorder="1" applyAlignment="1" applyProtection="1">
      <alignment horizontal="right"/>
      <protection locked="0"/>
    </xf>
    <xf numFmtId="0" fontId="0" fillId="41" borderId="24" xfId="0" applyFont="1" applyFill="1" applyBorder="1" applyAlignment="1" applyProtection="1">
      <alignment horizontal="right"/>
      <protection locked="0"/>
    </xf>
    <xf numFmtId="0" fontId="0" fillId="41" borderId="25" xfId="0" applyFont="1" applyFill="1" applyBorder="1" applyAlignment="1" applyProtection="1">
      <alignment horizontal="right"/>
      <protection locked="0"/>
    </xf>
    <xf numFmtId="0" fontId="12" fillId="41" borderId="37" xfId="49" applyFont="1" applyFill="1" applyBorder="1" applyAlignment="1" applyProtection="1">
      <alignment vertical="center"/>
      <protection/>
    </xf>
    <xf numFmtId="0" fontId="12" fillId="41" borderId="86" xfId="0" applyFont="1" applyFill="1" applyBorder="1" applyAlignment="1">
      <alignment horizontal="left" vertical="center"/>
    </xf>
    <xf numFmtId="0" fontId="0" fillId="41" borderId="38" xfId="0" applyFill="1" applyBorder="1" applyAlignment="1">
      <alignment/>
    </xf>
    <xf numFmtId="0" fontId="1" fillId="41" borderId="24" xfId="0" applyFont="1" applyFill="1" applyBorder="1" applyAlignment="1">
      <alignment/>
    </xf>
    <xf numFmtId="0" fontId="0" fillId="41" borderId="86" xfId="0" applyFill="1" applyBorder="1" applyAlignment="1">
      <alignment/>
    </xf>
    <xf numFmtId="0" fontId="1" fillId="41" borderId="38" xfId="0" applyFont="1" applyFill="1" applyBorder="1" applyAlignment="1">
      <alignment/>
    </xf>
    <xf numFmtId="0" fontId="0" fillId="43" borderId="9" xfId="0" applyFill="1" applyBorder="1" applyAlignment="1">
      <alignment/>
    </xf>
    <xf numFmtId="178" fontId="0" fillId="43" borderId="28" xfId="0" applyNumberFormat="1" applyFill="1" applyBorder="1" applyAlignment="1">
      <alignment horizontal="center"/>
    </xf>
    <xf numFmtId="0" fontId="6" fillId="43" borderId="9" xfId="0" applyFont="1" applyFill="1" applyBorder="1" applyAlignment="1">
      <alignment/>
    </xf>
    <xf numFmtId="178" fontId="6" fillId="43" borderId="28" xfId="0" applyNumberFormat="1" applyFont="1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1" fillId="41" borderId="42" xfId="0" applyFont="1" applyFill="1" applyBorder="1" applyAlignment="1">
      <alignment/>
    </xf>
    <xf numFmtId="0" fontId="49" fillId="41" borderId="9" xfId="0" applyFont="1" applyFill="1" applyBorder="1" applyAlignment="1">
      <alignment/>
    </xf>
    <xf numFmtId="0" fontId="0" fillId="43" borderId="51" xfId="0" applyFont="1" applyFill="1" applyBorder="1" applyAlignment="1">
      <alignment wrapText="1"/>
    </xf>
    <xf numFmtId="0" fontId="1" fillId="13" borderId="27" xfId="0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43" borderId="9" xfId="0" applyFont="1" applyFill="1" applyBorder="1" applyAlignment="1">
      <alignment/>
    </xf>
    <xf numFmtId="0" fontId="0" fillId="43" borderId="42" xfId="0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0" fontId="0" fillId="43" borderId="42" xfId="0" applyFill="1" applyBorder="1" applyAlignment="1">
      <alignment horizontal="center"/>
    </xf>
    <xf numFmtId="5" fontId="64" fillId="35" borderId="9" xfId="0" applyNumberFormat="1" applyFont="1" applyFill="1" applyBorder="1" applyAlignment="1" applyProtection="1">
      <alignment horizontal="right"/>
      <protection locked="0"/>
    </xf>
    <xf numFmtId="190" fontId="10" fillId="53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/>
    </xf>
    <xf numFmtId="181" fontId="0" fillId="35" borderId="0" xfId="0" applyNumberForma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81" fontId="0" fillId="35" borderId="0" xfId="0" applyNumberFormat="1" applyFill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 horizontal="center"/>
      <protection/>
    </xf>
    <xf numFmtId="4" fontId="10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0" fontId="0" fillId="43" borderId="0" xfId="0" applyFont="1" applyFill="1" applyAlignment="1">
      <alignment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41" borderId="0" xfId="49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0" fillId="41" borderId="0" xfId="0" applyFill="1" applyAlignment="1">
      <alignment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2" fontId="14" fillId="3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172" fontId="72" fillId="51" borderId="27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Border="1" applyAlignment="1">
      <alignment horizontal="right"/>
    </xf>
    <xf numFmtId="0" fontId="0" fillId="54" borderId="27" xfId="0" applyFont="1" applyFill="1" applyBorder="1" applyAlignment="1" applyProtection="1">
      <alignment horizontal="right"/>
      <protection locked="0"/>
    </xf>
    <xf numFmtId="0" fontId="0" fillId="54" borderId="0" xfId="0" applyFont="1" applyFill="1" applyBorder="1" applyAlignment="1">
      <alignment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51" borderId="0" xfId="0" applyFill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69" fillId="49" borderId="0" xfId="0" applyFont="1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>
      <alignment horizontal="right"/>
    </xf>
    <xf numFmtId="0" fontId="14" fillId="55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4" fillId="55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14" fillId="55" borderId="89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47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8" xfId="0" applyFont="1" applyBorder="1" applyAlignment="1">
      <alignment/>
    </xf>
    <xf numFmtId="0" fontId="42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0" fillId="35" borderId="12" xfId="0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 vertical="top"/>
    </xf>
    <xf numFmtId="0" fontId="0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10" fillId="35" borderId="27" xfId="0" applyFont="1" applyFill="1" applyBorder="1" applyAlignment="1">
      <alignment horizontal="right"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42" borderId="37" xfId="0" applyFont="1" applyFill="1" applyBorder="1" applyAlignment="1">
      <alignment horizontal="right"/>
    </xf>
    <xf numFmtId="0" fontId="10" fillId="42" borderId="38" xfId="0" applyFont="1" applyFill="1" applyBorder="1" applyAlignment="1">
      <alignment horizontal="right"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38" fillId="35" borderId="27" xfId="0" applyFont="1" applyFill="1" applyBorder="1" applyAlignment="1">
      <alignment horizontal="right"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47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10" fillId="34" borderId="37" xfId="0" applyFont="1" applyFill="1" applyBorder="1" applyAlignment="1">
      <alignment horizontal="right"/>
    </xf>
    <xf numFmtId="0" fontId="10" fillId="34" borderId="38" xfId="0" applyFont="1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10" fillId="44" borderId="37" xfId="0" applyFont="1" applyFill="1" applyBorder="1" applyAlignment="1">
      <alignment horizontal="right"/>
    </xf>
    <xf numFmtId="0" fontId="10" fillId="44" borderId="38" xfId="0" applyFont="1" applyFill="1" applyBorder="1" applyAlignment="1">
      <alignment horizontal="right"/>
    </xf>
    <xf numFmtId="0" fontId="0" fillId="35" borderId="0" xfId="0" applyNumberFormat="1" applyFont="1" applyFill="1" applyAlignment="1" applyProtection="1">
      <alignment horizontal="right"/>
      <protection hidden="1"/>
    </xf>
    <xf numFmtId="173" fontId="33" fillId="35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1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313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4.emf" /><Relationship Id="rId3" Type="http://schemas.openxmlformats.org/officeDocument/2006/relationships/image" Target="../media/image63.emf" /><Relationship Id="rId4" Type="http://schemas.openxmlformats.org/officeDocument/2006/relationships/image" Target="../media/image23.emf" /><Relationship Id="rId5" Type="http://schemas.openxmlformats.org/officeDocument/2006/relationships/image" Target="../media/image48.emf" /><Relationship Id="rId6" Type="http://schemas.openxmlformats.org/officeDocument/2006/relationships/image" Target="../media/image67.emf" /><Relationship Id="rId7" Type="http://schemas.openxmlformats.org/officeDocument/2006/relationships/image" Target="../media/image3.emf" /><Relationship Id="rId8" Type="http://schemas.openxmlformats.org/officeDocument/2006/relationships/image" Target="../media/image50.emf" /><Relationship Id="rId9" Type="http://schemas.openxmlformats.org/officeDocument/2006/relationships/image" Target="../media/image16.emf" /><Relationship Id="rId10" Type="http://schemas.openxmlformats.org/officeDocument/2006/relationships/image" Target="../media/image49.emf" /><Relationship Id="rId11" Type="http://schemas.openxmlformats.org/officeDocument/2006/relationships/image" Target="../media/image5.emf" /><Relationship Id="rId12" Type="http://schemas.openxmlformats.org/officeDocument/2006/relationships/image" Target="../media/image7.emf" /><Relationship Id="rId13" Type="http://schemas.openxmlformats.org/officeDocument/2006/relationships/image" Target="../media/image13.emf" /><Relationship Id="rId14" Type="http://schemas.openxmlformats.org/officeDocument/2006/relationships/image" Target="../media/image26.emf" /><Relationship Id="rId15" Type="http://schemas.openxmlformats.org/officeDocument/2006/relationships/image" Target="../media/image29.emf" /><Relationship Id="rId16" Type="http://schemas.openxmlformats.org/officeDocument/2006/relationships/image" Target="../media/image3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55.emf" /><Relationship Id="rId3" Type="http://schemas.openxmlformats.org/officeDocument/2006/relationships/image" Target="../media/image1.emf" /><Relationship Id="rId4" Type="http://schemas.openxmlformats.org/officeDocument/2006/relationships/image" Target="../media/image4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51.emf" /><Relationship Id="rId3" Type="http://schemas.openxmlformats.org/officeDocument/2006/relationships/image" Target="../media/image41.emf" /><Relationship Id="rId4" Type="http://schemas.openxmlformats.org/officeDocument/2006/relationships/image" Target="../media/image5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21.emf" /><Relationship Id="rId3" Type="http://schemas.openxmlformats.org/officeDocument/2006/relationships/image" Target="../media/image66.emf" /><Relationship Id="rId4" Type="http://schemas.openxmlformats.org/officeDocument/2006/relationships/image" Target="../media/image6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0.emf" /><Relationship Id="rId2" Type="http://schemas.openxmlformats.org/officeDocument/2006/relationships/image" Target="../media/image36.emf" /><Relationship Id="rId3" Type="http://schemas.openxmlformats.org/officeDocument/2006/relationships/image" Target="../media/image59.emf" /><Relationship Id="rId4" Type="http://schemas.openxmlformats.org/officeDocument/2006/relationships/image" Target="../media/image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7.emf" /><Relationship Id="rId3" Type="http://schemas.openxmlformats.org/officeDocument/2006/relationships/image" Target="../media/image4.emf" /><Relationship Id="rId4" Type="http://schemas.openxmlformats.org/officeDocument/2006/relationships/image" Target="../media/image2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1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8.emf" /><Relationship Id="rId3" Type="http://schemas.openxmlformats.org/officeDocument/2006/relationships/image" Target="../media/image35.emf" /><Relationship Id="rId4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3.emf" /><Relationship Id="rId3" Type="http://schemas.openxmlformats.org/officeDocument/2006/relationships/image" Target="../media/image22.emf" /><Relationship Id="rId4" Type="http://schemas.openxmlformats.org/officeDocument/2006/relationships/image" Target="../media/image4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34.emf" /><Relationship Id="rId3" Type="http://schemas.openxmlformats.org/officeDocument/2006/relationships/image" Target="../media/image31.emf" /><Relationship Id="rId4" Type="http://schemas.openxmlformats.org/officeDocument/2006/relationships/image" Target="../media/image6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69.emf" /><Relationship Id="rId3" Type="http://schemas.openxmlformats.org/officeDocument/2006/relationships/image" Target="../media/image44.emf" /><Relationship Id="rId4" Type="http://schemas.openxmlformats.org/officeDocument/2006/relationships/image" Target="../media/image1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56.emf" /><Relationship Id="rId3" Type="http://schemas.openxmlformats.org/officeDocument/2006/relationships/image" Target="../media/image19.emf" /><Relationship Id="rId4" Type="http://schemas.openxmlformats.org/officeDocument/2006/relationships/image" Target="../media/image5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53.emf" /><Relationship Id="rId3" Type="http://schemas.openxmlformats.org/officeDocument/2006/relationships/image" Target="../media/image40.emf" /><Relationship Id="rId4" Type="http://schemas.openxmlformats.org/officeDocument/2006/relationships/image" Target="../media/image4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28</xdr:row>
      <xdr:rowOff>66675</xdr:rowOff>
    </xdr:from>
    <xdr:to>
      <xdr:col>9</xdr:col>
      <xdr:colOff>476250</xdr:colOff>
      <xdr:row>29</xdr:row>
      <xdr:rowOff>152400</xdr:rowOff>
    </xdr:to>
    <xdr:pic>
      <xdr:nvPicPr>
        <xdr:cNvPr id="1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676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476250</xdr:colOff>
      <xdr:row>31</xdr:row>
      <xdr:rowOff>66675</xdr:rowOff>
    </xdr:to>
    <xdr:pic>
      <xdr:nvPicPr>
        <xdr:cNvPr id="2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676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476250</xdr:colOff>
      <xdr:row>32</xdr:row>
      <xdr:rowOff>142875</xdr:rowOff>
    </xdr:to>
    <xdr:pic>
      <xdr:nvPicPr>
        <xdr:cNvPr id="3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676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190500</xdr:colOff>
      <xdr:row>29</xdr:row>
      <xdr:rowOff>152400</xdr:rowOff>
    </xdr:to>
    <xdr:pic>
      <xdr:nvPicPr>
        <xdr:cNvPr id="4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5629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190500</xdr:colOff>
      <xdr:row>31</xdr:row>
      <xdr:rowOff>66675</xdr:rowOff>
    </xdr:to>
    <xdr:pic>
      <xdr:nvPicPr>
        <xdr:cNvPr id="5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5629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190500</xdr:colOff>
      <xdr:row>32</xdr:row>
      <xdr:rowOff>142875</xdr:rowOff>
    </xdr:to>
    <xdr:pic>
      <xdr:nvPicPr>
        <xdr:cNvPr id="6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629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723900</xdr:colOff>
      <xdr:row>29</xdr:row>
      <xdr:rowOff>152400</xdr:rowOff>
    </xdr:to>
    <xdr:pic>
      <xdr:nvPicPr>
        <xdr:cNvPr id="7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0963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723900</xdr:colOff>
      <xdr:row>31</xdr:row>
      <xdr:rowOff>66675</xdr:rowOff>
    </xdr:to>
    <xdr:pic>
      <xdr:nvPicPr>
        <xdr:cNvPr id="8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963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723900</xdr:colOff>
      <xdr:row>32</xdr:row>
      <xdr:rowOff>142875</xdr:rowOff>
    </xdr:to>
    <xdr:pic>
      <xdr:nvPicPr>
        <xdr:cNvPr id="9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0963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95250</xdr:colOff>
      <xdr:row>29</xdr:row>
      <xdr:rowOff>152400</xdr:rowOff>
    </xdr:to>
    <xdr:pic>
      <xdr:nvPicPr>
        <xdr:cNvPr id="10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582150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95250</xdr:colOff>
      <xdr:row>31</xdr:row>
      <xdr:rowOff>66675</xdr:rowOff>
    </xdr:to>
    <xdr:pic>
      <xdr:nvPicPr>
        <xdr:cNvPr id="11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582150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95250</xdr:colOff>
      <xdr:row>32</xdr:row>
      <xdr:rowOff>142875</xdr:rowOff>
    </xdr:to>
    <xdr:pic>
      <xdr:nvPicPr>
        <xdr:cNvPr id="12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9582150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13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53575" y="2857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552450</xdr:colOff>
      <xdr:row>3</xdr:row>
      <xdr:rowOff>66675</xdr:rowOff>
    </xdr:to>
    <xdr:pic>
      <xdr:nvPicPr>
        <xdr:cNvPr id="14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2857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15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67525" y="48291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628650</xdr:colOff>
      <xdr:row>31</xdr:row>
      <xdr:rowOff>28575</xdr:rowOff>
    </xdr:to>
    <xdr:pic>
      <xdr:nvPicPr>
        <xdr:cNvPr id="16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0200" y="48291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304800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38225"/>
          <a:ext cx="75247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133350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86100" y="866775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38100</xdr:rowOff>
    </xdr:from>
    <xdr:to>
      <xdr:col>10</xdr:col>
      <xdr:colOff>19050</xdr:colOff>
      <xdr:row>43</xdr:row>
      <xdr:rowOff>47625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6769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49</xdr:row>
      <xdr:rowOff>57150</xdr:rowOff>
    </xdr:from>
    <xdr:to>
      <xdr:col>3</xdr:col>
      <xdr:colOff>352425</xdr:colOff>
      <xdr:row>51</xdr:row>
      <xdr:rowOff>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009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49</xdr:row>
      <xdr:rowOff>57150</xdr:rowOff>
    </xdr:from>
    <xdr:to>
      <xdr:col>4</xdr:col>
      <xdr:colOff>314325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2009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66675</xdr:rowOff>
    </xdr:from>
    <xdr:to>
      <xdr:col>7</xdr:col>
      <xdr:colOff>47625</xdr:colOff>
      <xdr:row>51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66675</xdr:rowOff>
    </xdr:from>
    <xdr:to>
      <xdr:col>10</xdr:col>
      <xdr:colOff>38100</xdr:colOff>
      <xdr:row>51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285750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19175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285750</xdr:rowOff>
    </xdr:from>
    <xdr:to>
      <xdr:col>6</xdr:col>
      <xdr:colOff>9525</xdr:colOff>
      <xdr:row>43</xdr:row>
      <xdr:rowOff>123825</xdr:rowOff>
    </xdr:to>
    <xdr:sp macro="[0]!Info.hinweis">
      <xdr:nvSpPr>
        <xdr:cNvPr id="3" name="Rectangle 10"/>
        <xdr:cNvSpPr>
          <a:spLocks/>
        </xdr:cNvSpPr>
      </xdr:nvSpPr>
      <xdr:spPr>
        <a:xfrm>
          <a:off x="1990725" y="1019175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19050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592455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771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49</xdr:row>
      <xdr:rowOff>47625</xdr:rowOff>
    </xdr:from>
    <xdr:to>
      <xdr:col>4</xdr:col>
      <xdr:colOff>400050</xdr:colOff>
      <xdr:row>50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4866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4866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142875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4961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28575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5924550"/>
          <a:ext cx="333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67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4676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49</xdr:row>
      <xdr:rowOff>47625</xdr:rowOff>
    </xdr:from>
    <xdr:to>
      <xdr:col>7</xdr:col>
      <xdr:colOff>76200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4771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49</xdr:row>
      <xdr:rowOff>38100</xdr:rowOff>
    </xdr:from>
    <xdr:to>
      <xdr:col>10</xdr:col>
      <xdr:colOff>57150</xdr:colOff>
      <xdr:row>50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4676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086100" y="1000125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048125" y="572452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419100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247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247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49</xdr:row>
      <xdr:rowOff>57150</xdr:rowOff>
    </xdr:from>
    <xdr:to>
      <xdr:col>7</xdr:col>
      <xdr:colOff>114300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152400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39</xdr:row>
      <xdr:rowOff>28575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610225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49</xdr:row>
      <xdr:rowOff>38100</xdr:rowOff>
    </xdr:from>
    <xdr:to>
      <xdr:col>4</xdr:col>
      <xdr:colOff>409575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47625</xdr:rowOff>
    </xdr:from>
    <xdr:to>
      <xdr:col>7</xdr:col>
      <xdr:colOff>133350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133350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133350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723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723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0</xdr:rowOff>
    </xdr:from>
    <xdr:to>
      <xdr:col>10</xdr:col>
      <xdr:colOff>9525</xdr:colOff>
      <xdr:row>42</xdr:row>
      <xdr:rowOff>133350</xdr:rowOff>
    </xdr:to>
    <xdr:sp macro="[0]!Info.hinweis">
      <xdr:nvSpPr>
        <xdr:cNvPr id="4" name="Rectangle 12"/>
        <xdr:cNvSpPr>
          <a:spLocks/>
        </xdr:cNvSpPr>
      </xdr:nvSpPr>
      <xdr:spPr>
        <a:xfrm>
          <a:off x="3943350" y="5610225"/>
          <a:ext cx="304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49</xdr:row>
      <xdr:rowOff>38100</xdr:rowOff>
    </xdr:from>
    <xdr:to>
      <xdr:col>4</xdr:col>
      <xdr:colOff>381000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476250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14525" y="107632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38</xdr:row>
      <xdr:rowOff>133350</xdr:rowOff>
    </xdr:from>
    <xdr:to>
      <xdr:col>10</xdr:col>
      <xdr:colOff>0</xdr:colOff>
      <xdr:row>42</xdr:row>
      <xdr:rowOff>133350</xdr:rowOff>
    </xdr:to>
    <xdr:sp macro="[0]!Info.hinweis">
      <xdr:nvSpPr>
        <xdr:cNvPr id="4" name="Rectangle 11"/>
        <xdr:cNvSpPr>
          <a:spLocks/>
        </xdr:cNvSpPr>
      </xdr:nvSpPr>
      <xdr:spPr>
        <a:xfrm>
          <a:off x="393382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913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49</xdr:row>
      <xdr:rowOff>38100</xdr:rowOff>
    </xdr:from>
    <xdr:to>
      <xdr:col>4</xdr:col>
      <xdr:colOff>419100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17</xdr:row>
      <xdr:rowOff>9525</xdr:rowOff>
    </xdr:from>
    <xdr:to>
      <xdr:col>34</xdr:col>
      <xdr:colOff>0</xdr:colOff>
      <xdr:row>18</xdr:row>
      <xdr:rowOff>161925</xdr:rowOff>
    </xdr:to>
    <xdr:sp>
      <xdr:nvSpPr>
        <xdr:cNvPr id="1" name="KWSchema2"/>
        <xdr:cNvSpPr>
          <a:spLocks/>
        </xdr:cNvSpPr>
      </xdr:nvSpPr>
      <xdr:spPr>
        <a:xfrm>
          <a:off x="17021175" y="27908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51</a:t>
          </a:r>
        </a:p>
      </xdr:txBody>
    </xdr:sp>
    <xdr:clientData/>
  </xdr:twoCellAnchor>
  <xdr:twoCellAnchor>
    <xdr:from>
      <xdr:col>34</xdr:col>
      <xdr:colOff>0</xdr:colOff>
      <xdr:row>31</xdr:row>
      <xdr:rowOff>133350</xdr:rowOff>
    </xdr:from>
    <xdr:to>
      <xdr:col>34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14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53</a:t>
          </a:r>
        </a:p>
      </xdr:txBody>
    </xdr:sp>
    <xdr:clientData/>
  </xdr:twoCellAnchor>
  <xdr:twoCellAnchor>
    <xdr:from>
      <xdr:col>24</xdr:col>
      <xdr:colOff>381000</xdr:colOff>
      <xdr:row>5</xdr:row>
      <xdr:rowOff>161925</xdr:rowOff>
    </xdr:from>
    <xdr:to>
      <xdr:col>25</xdr:col>
      <xdr:colOff>257175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885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3</xdr:row>
      <xdr:rowOff>19050</xdr:rowOff>
    </xdr:from>
    <xdr:to>
      <xdr:col>20</xdr:col>
      <xdr:colOff>571500</xdr:colOff>
      <xdr:row>28</xdr:row>
      <xdr:rowOff>38100</xdr:rowOff>
    </xdr:to>
    <xdr:sp macro="[0]!Info.hinweis">
      <xdr:nvSpPr>
        <xdr:cNvPr id="1" name="Rectangle 1"/>
        <xdr:cNvSpPr>
          <a:spLocks/>
        </xdr:cNvSpPr>
      </xdr:nvSpPr>
      <xdr:spPr>
        <a:xfrm>
          <a:off x="9191625" y="514350"/>
          <a:ext cx="60674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2</xdr:col>
      <xdr:colOff>581025</xdr:colOff>
      <xdr:row>31</xdr:row>
      <xdr:rowOff>133350</xdr:rowOff>
    </xdr:to>
    <xdr:sp macro="[0]!Info.hinweis">
      <xdr:nvSpPr>
        <xdr:cNvPr id="1" name="Rectangle 38"/>
        <xdr:cNvSpPr>
          <a:spLocks/>
        </xdr:cNvSpPr>
      </xdr:nvSpPr>
      <xdr:spPr>
        <a:xfrm>
          <a:off x="1438275" y="885825"/>
          <a:ext cx="58102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4</xdr:col>
      <xdr:colOff>47625</xdr:colOff>
      <xdr:row>36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219075" y="4524375"/>
          <a:ext cx="2486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400550"/>
          <a:ext cx="581025" cy="156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46</xdr:row>
      <xdr:rowOff>161925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7019925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1000125</xdr:colOff>
      <xdr:row>3</xdr:row>
      <xdr:rowOff>152400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23825"/>
          <a:ext cx="2143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47900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7</xdr:col>
      <xdr:colOff>9525</xdr:colOff>
      <xdr:row>32</xdr:row>
      <xdr:rowOff>0</xdr:rowOff>
    </xdr:to>
    <xdr:sp macro="[0]!Info.hinweis">
      <xdr:nvSpPr>
        <xdr:cNvPr id="5" name="Rectangle 38"/>
        <xdr:cNvSpPr>
          <a:spLocks/>
        </xdr:cNvSpPr>
      </xdr:nvSpPr>
      <xdr:spPr>
        <a:xfrm>
          <a:off x="4295775" y="4429125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36</xdr:row>
      <xdr:rowOff>133350</xdr:rowOff>
    </xdr:from>
    <xdr:to>
      <xdr:col>7</xdr:col>
      <xdr:colOff>0</xdr:colOff>
      <xdr:row>42</xdr:row>
      <xdr:rowOff>9525</xdr:rowOff>
    </xdr:to>
    <xdr:sp macro="[0]!Info.hinweis">
      <xdr:nvSpPr>
        <xdr:cNvPr id="6" name="Rectangle 38"/>
        <xdr:cNvSpPr>
          <a:spLocks/>
        </xdr:cNvSpPr>
      </xdr:nvSpPr>
      <xdr:spPr>
        <a:xfrm>
          <a:off x="4286250" y="6343650"/>
          <a:ext cx="1047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16</xdr:row>
      <xdr:rowOff>152400</xdr:rowOff>
    </xdr:from>
    <xdr:to>
      <xdr:col>6</xdr:col>
      <xdr:colOff>1028700</xdr:colOff>
      <xdr:row>21</xdr:row>
      <xdr:rowOff>9525</xdr:rowOff>
    </xdr:to>
    <xdr:sp macro="[0]!Info.hinweis">
      <xdr:nvSpPr>
        <xdr:cNvPr id="7" name="Rectangle 38"/>
        <xdr:cNvSpPr>
          <a:spLocks/>
        </xdr:cNvSpPr>
      </xdr:nvSpPr>
      <xdr:spPr>
        <a:xfrm>
          <a:off x="4276725" y="3028950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36</xdr:row>
      <xdr:rowOff>19050</xdr:rowOff>
    </xdr:from>
    <xdr:to>
      <xdr:col>5</xdr:col>
      <xdr:colOff>66675</xdr:colOff>
      <xdr:row>40</xdr:row>
      <xdr:rowOff>9525</xdr:rowOff>
    </xdr:to>
    <xdr:sp macro="[0]!Info.hinweis">
      <xdr:nvSpPr>
        <xdr:cNvPr id="8" name="Rectangle 38"/>
        <xdr:cNvSpPr>
          <a:spLocks/>
        </xdr:cNvSpPr>
      </xdr:nvSpPr>
      <xdr:spPr>
        <a:xfrm>
          <a:off x="866775" y="622935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123825</xdr:rowOff>
    </xdr:from>
    <xdr:to>
      <xdr:col>7</xdr:col>
      <xdr:colOff>19050</xdr:colOff>
      <xdr:row>52</xdr:row>
      <xdr:rowOff>38100</xdr:rowOff>
    </xdr:to>
    <xdr:sp macro="[0]!Info.hinweis">
      <xdr:nvSpPr>
        <xdr:cNvPr id="9" name="Rectangle 38"/>
        <xdr:cNvSpPr>
          <a:spLocks/>
        </xdr:cNvSpPr>
      </xdr:nvSpPr>
      <xdr:spPr>
        <a:xfrm>
          <a:off x="4305300" y="8115300"/>
          <a:ext cx="1047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22</xdr:row>
      <xdr:rowOff>19050</xdr:rowOff>
    </xdr:from>
    <xdr:to>
      <xdr:col>7</xdr:col>
      <xdr:colOff>0</xdr:colOff>
      <xdr:row>23</xdr:row>
      <xdr:rowOff>142875</xdr:rowOff>
    </xdr:to>
    <xdr:sp macro="[0]!Info.hinweis">
      <xdr:nvSpPr>
        <xdr:cNvPr id="10" name="Rectangle 38"/>
        <xdr:cNvSpPr>
          <a:spLocks/>
        </xdr:cNvSpPr>
      </xdr:nvSpPr>
      <xdr:spPr>
        <a:xfrm>
          <a:off x="4286250" y="3867150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85725</xdr:rowOff>
    </xdr:from>
    <xdr:to>
      <xdr:col>5</xdr:col>
      <xdr:colOff>752475</xdr:colOff>
      <xdr:row>28</xdr:row>
      <xdr:rowOff>9525</xdr:rowOff>
    </xdr:to>
    <xdr:sp macro="[0]!Info.hinweis">
      <xdr:nvSpPr>
        <xdr:cNvPr id="11" name="Rectangle 38"/>
        <xdr:cNvSpPr>
          <a:spLocks/>
        </xdr:cNvSpPr>
      </xdr:nvSpPr>
      <xdr:spPr>
        <a:xfrm>
          <a:off x="838200" y="4343400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53</xdr:row>
      <xdr:rowOff>47625</xdr:rowOff>
    </xdr:from>
    <xdr:to>
      <xdr:col>5</xdr:col>
      <xdr:colOff>628650</xdr:colOff>
      <xdr:row>55</xdr:row>
      <xdr:rowOff>38100</xdr:rowOff>
    </xdr:to>
    <xdr:pic>
      <xdr:nvPicPr>
        <xdr:cNvPr id="12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29700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371475</xdr:colOff>
      <xdr:row>53</xdr:row>
      <xdr:rowOff>57150</xdr:rowOff>
    </xdr:from>
    <xdr:to>
      <xdr:col>3</xdr:col>
      <xdr:colOff>381000</xdr:colOff>
      <xdr:row>55</xdr:row>
      <xdr:rowOff>28575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0392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9525</xdr:colOff>
      <xdr:row>38</xdr:row>
      <xdr:rowOff>9525</xdr:rowOff>
    </xdr:to>
    <xdr:sp macro="[0]!Info.hinweis">
      <xdr:nvSpPr>
        <xdr:cNvPr id="1" name="Rectangle 37"/>
        <xdr:cNvSpPr>
          <a:spLocks/>
        </xdr:cNvSpPr>
      </xdr:nvSpPr>
      <xdr:spPr>
        <a:xfrm>
          <a:off x="238125" y="10858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9525</xdr:rowOff>
    </xdr:from>
    <xdr:to>
      <xdr:col>6</xdr:col>
      <xdr:colOff>0</xdr:colOff>
      <xdr:row>44</xdr:row>
      <xdr:rowOff>133350</xdr:rowOff>
    </xdr:to>
    <xdr:sp macro="[0]!Info.hinweis">
      <xdr:nvSpPr>
        <xdr:cNvPr id="2" name="Rectangle 38"/>
        <xdr:cNvSpPr>
          <a:spLocks/>
        </xdr:cNvSpPr>
      </xdr:nvSpPr>
      <xdr:spPr>
        <a:xfrm>
          <a:off x="1971675" y="1076325"/>
          <a:ext cx="514350" cy="540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9</xdr:col>
      <xdr:colOff>0</xdr:colOff>
      <xdr:row>38</xdr:row>
      <xdr:rowOff>123825</xdr:rowOff>
    </xdr:to>
    <xdr:sp macro="[0]!Info.hinweis">
      <xdr:nvSpPr>
        <xdr:cNvPr id="3" name="Rectangle 39"/>
        <xdr:cNvSpPr>
          <a:spLocks/>
        </xdr:cNvSpPr>
      </xdr:nvSpPr>
      <xdr:spPr>
        <a:xfrm>
          <a:off x="3076575" y="1066800"/>
          <a:ext cx="9144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10</xdr:col>
      <xdr:colOff>19050</xdr:colOff>
      <xdr:row>44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505450"/>
          <a:ext cx="304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49</xdr:row>
      <xdr:rowOff>57150</xdr:rowOff>
    </xdr:from>
    <xdr:to>
      <xdr:col>3</xdr:col>
      <xdr:colOff>400050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191375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342900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76200</xdr:rowOff>
    </xdr:from>
    <xdr:to>
      <xdr:col>7</xdr:col>
      <xdr:colOff>47625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72104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49</xdr:row>
      <xdr:rowOff>66675</xdr:rowOff>
    </xdr:from>
    <xdr:to>
      <xdr:col>10</xdr:col>
      <xdr:colOff>133350</xdr:colOff>
      <xdr:row>51</xdr:row>
      <xdr:rowOff>9525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720090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323850</xdr:rowOff>
    </xdr:from>
    <xdr:to>
      <xdr:col>3</xdr:col>
      <xdr:colOff>38100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66700" y="1076325"/>
          <a:ext cx="7429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85850"/>
          <a:ext cx="962025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</xdr:row>
      <xdr:rowOff>333375</xdr:rowOff>
    </xdr:from>
    <xdr:to>
      <xdr:col>5</xdr:col>
      <xdr:colOff>485775</xdr:colOff>
      <xdr:row>44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85850"/>
          <a:ext cx="504825" cy="543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676900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57150</xdr:rowOff>
    </xdr:from>
    <xdr:to>
      <xdr:col>3</xdr:col>
      <xdr:colOff>390525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390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352425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2390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66675</xdr:rowOff>
    </xdr:from>
    <xdr:to>
      <xdr:col>7</xdr:col>
      <xdr:colOff>66675</xdr:colOff>
      <xdr:row>51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48525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57150</xdr:rowOff>
    </xdr:from>
    <xdr:to>
      <xdr:col>10</xdr:col>
      <xdr:colOff>123825</xdr:colOff>
      <xdr:row>51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239000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8</xdr:col>
      <xdr:colOff>476250</xdr:colOff>
      <xdr:row>39</xdr:row>
      <xdr:rowOff>9525</xdr:rowOff>
    </xdr:to>
    <xdr:sp macro="[0]!Info.hinweis">
      <xdr:nvSpPr>
        <xdr:cNvPr id="2" name="Rectangle 10"/>
        <xdr:cNvSpPr>
          <a:spLocks/>
        </xdr:cNvSpPr>
      </xdr:nvSpPr>
      <xdr:spPr>
        <a:xfrm>
          <a:off x="3057525" y="1057275"/>
          <a:ext cx="9144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7</xdr:row>
      <xdr:rowOff>0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90725" y="1057275"/>
          <a:ext cx="504825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648325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400050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818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1818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38100</xdr:rowOff>
    </xdr:from>
    <xdr:to>
      <xdr:col>7</xdr:col>
      <xdr:colOff>142875</xdr:colOff>
      <xdr:row>50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28575</xdr:rowOff>
    </xdr:from>
    <xdr:to>
      <xdr:col>10</xdr:col>
      <xdr:colOff>123825</xdr:colOff>
      <xdr:row>50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1723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95625" y="1019175"/>
          <a:ext cx="904875" cy="458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3"/>
        <xdr:cNvSpPr>
          <a:spLocks/>
        </xdr:cNvSpPr>
      </xdr:nvSpPr>
      <xdr:spPr>
        <a:xfrm>
          <a:off x="1981200" y="819150"/>
          <a:ext cx="495300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6007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49</xdr:row>
      <xdr:rowOff>38100</xdr:rowOff>
    </xdr:from>
    <xdr:to>
      <xdr:col>3</xdr:col>
      <xdr:colOff>390525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38100</xdr:rowOff>
    </xdr:from>
    <xdr:to>
      <xdr:col>4</xdr:col>
      <xdr:colOff>342900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437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47625</xdr:rowOff>
    </xdr:from>
    <xdr:to>
      <xdr:col>7</xdr:col>
      <xdr:colOff>38100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1532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49</xdr:row>
      <xdr:rowOff>47625</xdr:rowOff>
    </xdr:from>
    <xdr:to>
      <xdr:col>10</xdr:col>
      <xdr:colOff>161925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1532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uer@parmenti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zoomScale="95" zoomScaleNormal="95" zoomScalePageLayoutView="0" workbookViewId="0" topLeftCell="A1">
      <selection activeCell="H33" sqref="H33:I33"/>
    </sheetView>
  </sheetViews>
  <sheetFormatPr defaultColWidth="0" defaultRowHeight="12.75" zeroHeight="1"/>
  <cols>
    <col min="1" max="1" width="7.8515625" style="106" customWidth="1"/>
    <col min="2" max="2" width="55.140625" style="1" customWidth="1"/>
    <col min="3" max="3" width="11.421875" style="1" customWidth="1"/>
    <col min="4" max="4" width="4.140625" style="1" customWidth="1"/>
    <col min="5" max="5" width="3.57421875" style="106" customWidth="1"/>
    <col min="6" max="6" width="10.140625" style="1" customWidth="1"/>
    <col min="7" max="7" width="10.421875" style="1" customWidth="1"/>
    <col min="8" max="8" width="10.8515625" style="1" customWidth="1"/>
    <col min="9" max="9" width="7.00390625" style="106" customWidth="1"/>
    <col min="10" max="10" width="11.7109375" style="106" customWidth="1"/>
    <col min="11" max="11" width="11.421875" style="106" customWidth="1"/>
    <col min="12" max="12" width="5.28125" style="106" customWidth="1"/>
    <col min="13" max="13" width="2.28125" style="1" customWidth="1"/>
    <col min="14" max="14" width="4.8515625" style="106" customWidth="1"/>
    <col min="15" max="15" width="17.28125" style="106" customWidth="1"/>
    <col min="16" max="16" width="12.28125" style="106" customWidth="1"/>
    <col min="17" max="17" width="11.421875" style="106" customWidth="1"/>
    <col min="18" max="255" width="0" style="1" hidden="1" customWidth="1"/>
    <col min="256" max="16384" width="7.421875" style="1" hidden="1" customWidth="1"/>
  </cols>
  <sheetData>
    <row r="1" spans="1:13" ht="13.5" customHeight="1">
      <c r="A1" s="105"/>
      <c r="B1" s="106"/>
      <c r="C1" s="106"/>
      <c r="D1" s="106"/>
      <c r="F1" s="226" t="s">
        <v>157</v>
      </c>
      <c r="G1" s="227"/>
      <c r="H1" s="227"/>
      <c r="I1" s="107"/>
      <c r="J1" s="108"/>
      <c r="K1" s="608"/>
      <c r="L1" s="109"/>
      <c r="M1" s="106"/>
    </row>
    <row r="2" spans="1:13" ht="12.75" customHeight="1">
      <c r="A2" s="110"/>
      <c r="B2" s="111" t="s">
        <v>57</v>
      </c>
      <c r="C2" s="107"/>
      <c r="D2" s="107"/>
      <c r="E2" s="122"/>
      <c r="F2" s="108"/>
      <c r="G2" s="119"/>
      <c r="H2" s="119"/>
      <c r="I2" s="113"/>
      <c r="J2" s="108"/>
      <c r="K2" s="609"/>
      <c r="L2" s="114"/>
      <c r="M2" s="106"/>
    </row>
    <row r="3" spans="1:16" ht="12" customHeight="1">
      <c r="A3" s="115"/>
      <c r="B3" s="600">
        <v>2015</v>
      </c>
      <c r="C3" s="602" t="s">
        <v>152</v>
      </c>
      <c r="D3" s="107"/>
      <c r="F3" s="555" t="s">
        <v>163</v>
      </c>
      <c r="G3" s="556" t="s">
        <v>158</v>
      </c>
      <c r="H3" s="557">
        <v>8</v>
      </c>
      <c r="I3" s="113"/>
      <c r="J3" s="119"/>
      <c r="K3" s="120"/>
      <c r="L3" s="120"/>
      <c r="M3" s="121"/>
      <c r="O3" s="122"/>
      <c r="P3" s="122"/>
    </row>
    <row r="4" spans="1:16" ht="12.75">
      <c r="A4" s="115"/>
      <c r="B4" s="601"/>
      <c r="C4" s="603"/>
      <c r="D4" s="106"/>
      <c r="F4" s="558" t="s">
        <v>164</v>
      </c>
      <c r="G4" s="238" t="s">
        <v>159</v>
      </c>
      <c r="H4" s="178">
        <v>8</v>
      </c>
      <c r="I4" s="108"/>
      <c r="J4" s="119"/>
      <c r="K4" s="120"/>
      <c r="L4" s="120"/>
      <c r="M4" s="121"/>
      <c r="O4" s="122"/>
      <c r="P4" s="122"/>
    </row>
    <row r="5" spans="1:16" ht="12.75">
      <c r="A5" s="115"/>
      <c r="B5" s="190" t="s">
        <v>166</v>
      </c>
      <c r="C5" s="122"/>
      <c r="D5" s="122"/>
      <c r="F5" s="559"/>
      <c r="G5" s="238" t="s">
        <v>160</v>
      </c>
      <c r="H5" s="178">
        <v>8</v>
      </c>
      <c r="I5" s="119"/>
      <c r="J5" s="123" t="s">
        <v>184</v>
      </c>
      <c r="K5" s="124"/>
      <c r="L5" s="124"/>
      <c r="M5" s="121"/>
      <c r="O5" s="122"/>
      <c r="P5" s="125"/>
    </row>
    <row r="6" spans="1:16" ht="13.5">
      <c r="A6" s="191" t="s">
        <v>144</v>
      </c>
      <c r="B6" s="361" t="s">
        <v>37</v>
      </c>
      <c r="C6" s="122"/>
      <c r="D6" s="122"/>
      <c r="F6" s="559"/>
      <c r="G6" s="238" t="s">
        <v>161</v>
      </c>
      <c r="H6" s="178">
        <v>8</v>
      </c>
      <c r="I6" s="119"/>
      <c r="J6" s="119"/>
      <c r="K6" s="120"/>
      <c r="L6" s="120"/>
      <c r="M6" s="126"/>
      <c r="O6" s="127"/>
      <c r="P6" s="128"/>
    </row>
    <row r="7" spans="1:16" ht="13.5">
      <c r="A7" s="188" t="s">
        <v>141</v>
      </c>
      <c r="B7" s="361" t="s">
        <v>139</v>
      </c>
      <c r="C7" s="129"/>
      <c r="D7" s="129"/>
      <c r="E7" s="116"/>
      <c r="F7" s="559"/>
      <c r="G7" s="237" t="s">
        <v>162</v>
      </c>
      <c r="H7" s="178">
        <v>5.5</v>
      </c>
      <c r="I7" s="117"/>
      <c r="J7" s="566" t="str">
        <f>"Feiertage "&amp;gewJahr</f>
        <v>Feiertage 2015</v>
      </c>
      <c r="K7" s="567"/>
      <c r="L7" s="567"/>
      <c r="M7" s="568"/>
      <c r="O7" s="526" t="s">
        <v>266</v>
      </c>
      <c r="P7" s="527"/>
    </row>
    <row r="8" spans="1:16" ht="13.5">
      <c r="A8" s="189" t="s">
        <v>140</v>
      </c>
      <c r="B8" s="361" t="s">
        <v>183</v>
      </c>
      <c r="C8" s="366"/>
      <c r="D8" s="122"/>
      <c r="E8" s="136"/>
      <c r="F8" s="560"/>
      <c r="G8" s="119" t="s">
        <v>96</v>
      </c>
      <c r="H8" s="178">
        <f>SUM(H2:H7)</f>
        <v>37.5</v>
      </c>
      <c r="I8" s="121"/>
      <c r="J8" s="529"/>
      <c r="K8" s="146"/>
      <c r="L8" s="122"/>
      <c r="M8" s="530"/>
      <c r="O8" s="526" t="s">
        <v>267</v>
      </c>
      <c r="P8" s="527"/>
    </row>
    <row r="9" spans="1:16" ht="12.75">
      <c r="A9" s="130"/>
      <c r="B9" s="131"/>
      <c r="C9" s="131"/>
      <c r="D9" s="131"/>
      <c r="F9" s="560"/>
      <c r="G9" s="119" t="s">
        <v>55</v>
      </c>
      <c r="H9" s="15">
        <v>0.9166666666666666</v>
      </c>
      <c r="I9" s="126"/>
      <c r="J9" s="531">
        <f>DATE(gewJahr,1,1)</f>
        <v>42005</v>
      </c>
      <c r="K9" s="133" t="s">
        <v>43</v>
      </c>
      <c r="L9" s="121"/>
      <c r="M9" s="532"/>
      <c r="O9" s="526" t="s">
        <v>268</v>
      </c>
      <c r="P9" s="527"/>
    </row>
    <row r="10" spans="1:16" ht="12.75">
      <c r="A10" s="130"/>
      <c r="B10" s="148"/>
      <c r="C10" s="106"/>
      <c r="D10" s="134"/>
      <c r="E10" s="122"/>
      <c r="F10" s="560"/>
      <c r="G10" s="108" t="s">
        <v>56</v>
      </c>
      <c r="H10" s="15">
        <v>0.25</v>
      </c>
      <c r="I10" s="135"/>
      <c r="J10" s="531">
        <f>DATE(gewJahr,1,6)</f>
        <v>42010</v>
      </c>
      <c r="K10" s="133" t="s">
        <v>44</v>
      </c>
      <c r="L10" s="121"/>
      <c r="M10" s="533" t="s">
        <v>64</v>
      </c>
      <c r="O10" s="526" t="s">
        <v>269</v>
      </c>
      <c r="P10" s="527"/>
    </row>
    <row r="11" spans="1:16" ht="12.75">
      <c r="A11" s="130"/>
      <c r="B11" s="569" t="s">
        <v>156</v>
      </c>
      <c r="C11" s="570"/>
      <c r="D11" s="571"/>
      <c r="E11" s="122"/>
      <c r="F11" s="561"/>
      <c r="G11" s="507" t="str">
        <f>F23&amp;" von:"</f>
        <v>Sonderschicht I von:</v>
      </c>
      <c r="H11" s="15">
        <v>0.25</v>
      </c>
      <c r="I11" s="121"/>
      <c r="J11" s="531">
        <f>J12-2</f>
        <v>42097</v>
      </c>
      <c r="K11" s="137" t="s">
        <v>29</v>
      </c>
      <c r="L11" s="121"/>
      <c r="M11" s="534"/>
      <c r="O11" s="138"/>
      <c r="P11" s="139"/>
    </row>
    <row r="12" spans="1:16" ht="12.75">
      <c r="A12" s="130"/>
      <c r="B12" s="572" t="s">
        <v>23</v>
      </c>
      <c r="C12" s="240">
        <v>1</v>
      </c>
      <c r="D12" s="573"/>
      <c r="F12" s="560"/>
      <c r="G12" s="108" t="s">
        <v>56</v>
      </c>
      <c r="H12" s="15">
        <v>0.5833333333333334</v>
      </c>
      <c r="I12" s="140"/>
      <c r="J12" s="531">
        <f>Ostern(gewJahr)</f>
        <v>42099</v>
      </c>
      <c r="K12" s="137" t="s">
        <v>45</v>
      </c>
      <c r="L12" s="121"/>
      <c r="M12" s="534"/>
      <c r="O12" s="141"/>
      <c r="P12" s="122"/>
    </row>
    <row r="13" spans="1:13" ht="12.75">
      <c r="A13" s="122"/>
      <c r="B13" s="574" t="s">
        <v>178</v>
      </c>
      <c r="C13" s="241">
        <v>0.9</v>
      </c>
      <c r="D13" s="575"/>
      <c r="E13" s="122"/>
      <c r="F13" s="614" t="str">
        <f>G24&amp;" von:"</f>
        <v>Sonderschicht II von:</v>
      </c>
      <c r="G13" s="615"/>
      <c r="H13" s="15">
        <v>0.5833333333333334</v>
      </c>
      <c r="I13" s="251"/>
      <c r="J13" s="531">
        <f>J12+1</f>
        <v>42100</v>
      </c>
      <c r="K13" s="137" t="s">
        <v>30</v>
      </c>
      <c r="L13" s="121"/>
      <c r="M13" s="534"/>
    </row>
    <row r="14" spans="2:13" ht="12.75">
      <c r="B14" s="572" t="s">
        <v>24</v>
      </c>
      <c r="C14" s="240">
        <v>0</v>
      </c>
      <c r="D14" s="576"/>
      <c r="E14" s="122"/>
      <c r="F14" s="598" t="s">
        <v>56</v>
      </c>
      <c r="G14" s="599"/>
      <c r="H14" s="252">
        <v>0.9166666666666666</v>
      </c>
      <c r="I14" s="121"/>
      <c r="J14" s="531">
        <f>DATE(gewJahr,5,1)</f>
        <v>42125</v>
      </c>
      <c r="K14" s="137" t="s">
        <v>46</v>
      </c>
      <c r="L14" s="146"/>
      <c r="M14" s="534"/>
    </row>
    <row r="15" spans="2:13" ht="12.75">
      <c r="B15" s="572" t="s">
        <v>167</v>
      </c>
      <c r="C15" s="240">
        <v>0</v>
      </c>
      <c r="D15" s="576"/>
      <c r="E15" s="122"/>
      <c r="F15" s="610"/>
      <c r="G15" s="611"/>
      <c r="H15" s="118"/>
      <c r="I15" s="121"/>
      <c r="J15" s="531">
        <f>J12+39</f>
        <v>42138</v>
      </c>
      <c r="K15" s="137" t="s">
        <v>95</v>
      </c>
      <c r="L15" s="146"/>
      <c r="M15" s="534"/>
    </row>
    <row r="16" spans="2:16" ht="12.75">
      <c r="B16" s="572" t="s">
        <v>168</v>
      </c>
      <c r="C16" s="240">
        <v>9</v>
      </c>
      <c r="D16" s="576" t="s">
        <v>26</v>
      </c>
      <c r="F16" s="612" t="s">
        <v>36</v>
      </c>
      <c r="G16" s="613"/>
      <c r="H16" s="12" t="s">
        <v>34</v>
      </c>
      <c r="I16" s="126"/>
      <c r="J16" s="535">
        <f>J12+49</f>
        <v>42148</v>
      </c>
      <c r="K16" s="137" t="s">
        <v>47</v>
      </c>
      <c r="L16" s="121"/>
      <c r="M16" s="534"/>
      <c r="N16" s="620"/>
      <c r="O16" s="621"/>
      <c r="P16" s="112"/>
    </row>
    <row r="17" spans="2:16" ht="12.75">
      <c r="B17" s="577" t="s">
        <v>169</v>
      </c>
      <c r="C17" s="242">
        <v>14.6</v>
      </c>
      <c r="D17" s="245" t="s">
        <v>170</v>
      </c>
      <c r="E17" s="116"/>
      <c r="F17" s="616" t="s">
        <v>35</v>
      </c>
      <c r="G17" s="617"/>
      <c r="H17" s="480">
        <v>34</v>
      </c>
      <c r="I17" s="135"/>
      <c r="J17" s="536">
        <f>J12+50</f>
        <v>42149</v>
      </c>
      <c r="K17" s="144" t="s">
        <v>31</v>
      </c>
      <c r="L17" s="121"/>
      <c r="M17" s="534"/>
      <c r="N17" s="132"/>
      <c r="O17" s="133"/>
      <c r="P17" s="109"/>
    </row>
    <row r="18" spans="2:16" ht="12.75">
      <c r="B18" s="578" t="s">
        <v>308</v>
      </c>
      <c r="C18" s="243">
        <v>0.9</v>
      </c>
      <c r="D18" s="245" t="s">
        <v>170</v>
      </c>
      <c r="E18" s="136"/>
      <c r="F18" s="618" t="s">
        <v>53</v>
      </c>
      <c r="G18" s="619"/>
      <c r="H18" s="12" t="s">
        <v>34</v>
      </c>
      <c r="I18" s="121"/>
      <c r="J18" s="535">
        <f>J12+60</f>
        <v>42159</v>
      </c>
      <c r="K18" s="137" t="s">
        <v>32</v>
      </c>
      <c r="L18" s="121"/>
      <c r="M18" s="537" t="s">
        <v>64</v>
      </c>
      <c r="N18" s="132"/>
      <c r="O18" s="133"/>
      <c r="P18" s="109"/>
    </row>
    <row r="19" spans="2:16" ht="12.75">
      <c r="B19" s="578" t="s">
        <v>171</v>
      </c>
      <c r="C19" s="244">
        <v>0</v>
      </c>
      <c r="D19" s="247"/>
      <c r="E19" s="136"/>
      <c r="F19" s="550"/>
      <c r="G19" s="136" t="s">
        <v>58</v>
      </c>
      <c r="H19" s="497">
        <v>28.5</v>
      </c>
      <c r="I19" s="121"/>
      <c r="J19" s="535">
        <f>DATE(gewJahr,8,15)</f>
        <v>42231</v>
      </c>
      <c r="K19" s="137" t="s">
        <v>48</v>
      </c>
      <c r="L19" s="121"/>
      <c r="M19" s="537" t="s">
        <v>166</v>
      </c>
      <c r="N19" s="132"/>
      <c r="O19" s="133"/>
      <c r="P19" s="109"/>
    </row>
    <row r="20" spans="2:16" ht="13.5" customHeight="1">
      <c r="B20" s="572" t="s">
        <v>172</v>
      </c>
      <c r="C20" s="240">
        <v>1</v>
      </c>
      <c r="D20" s="247"/>
      <c r="E20" s="136"/>
      <c r="F20" s="550"/>
      <c r="G20" s="136" t="s">
        <v>59</v>
      </c>
      <c r="H20" s="3">
        <v>0</v>
      </c>
      <c r="I20" s="121"/>
      <c r="J20" s="535">
        <f>DATE(gewJahr,10,3)</f>
        <v>42280</v>
      </c>
      <c r="K20" s="137" t="s">
        <v>49</v>
      </c>
      <c r="L20" s="121"/>
      <c r="M20" s="538"/>
      <c r="N20" s="132"/>
      <c r="O20" s="137"/>
      <c r="P20" s="109"/>
    </row>
    <row r="21" spans="2:16" ht="12.75">
      <c r="B21" s="572" t="s">
        <v>173</v>
      </c>
      <c r="C21" s="240">
        <v>0</v>
      </c>
      <c r="D21" s="247"/>
      <c r="E21" s="136"/>
      <c r="F21" s="551"/>
      <c r="G21" s="504" t="s">
        <v>119</v>
      </c>
      <c r="H21" s="3">
        <v>0</v>
      </c>
      <c r="I21" s="121"/>
      <c r="J21" s="535">
        <f>DATE(gewJahr,10,31)</f>
        <v>42308</v>
      </c>
      <c r="K21" s="137" t="s">
        <v>62</v>
      </c>
      <c r="L21" s="121"/>
      <c r="M21" s="537" t="s">
        <v>166</v>
      </c>
      <c r="N21" s="132"/>
      <c r="O21" s="137"/>
      <c r="P21" s="109"/>
    </row>
    <row r="22" spans="1:16" ht="12.75">
      <c r="A22" s="481"/>
      <c r="B22" s="572" t="s">
        <v>174</v>
      </c>
      <c r="C22" s="240">
        <v>0</v>
      </c>
      <c r="D22" s="247"/>
      <c r="E22" s="107"/>
      <c r="F22" s="552"/>
      <c r="G22" s="136" t="s">
        <v>60</v>
      </c>
      <c r="H22" s="3">
        <v>2.98</v>
      </c>
      <c r="I22" s="121"/>
      <c r="J22" s="535">
        <f>DATE(gewJahr,11,1)</f>
        <v>42309</v>
      </c>
      <c r="K22" s="137" t="s">
        <v>50</v>
      </c>
      <c r="L22" s="121"/>
      <c r="M22" s="537" t="s">
        <v>166</v>
      </c>
      <c r="N22" s="132"/>
      <c r="O22" s="137"/>
      <c r="P22" s="109"/>
    </row>
    <row r="23" spans="2:16" ht="12.75">
      <c r="B23" s="579" t="s">
        <v>254</v>
      </c>
      <c r="C23" s="314">
        <v>19460</v>
      </c>
      <c r="D23" s="247"/>
      <c r="E23" s="146"/>
      <c r="F23" s="629" t="s">
        <v>264</v>
      </c>
      <c r="G23" s="630"/>
      <c r="H23" s="496">
        <v>0</v>
      </c>
      <c r="I23" s="126"/>
      <c r="J23" s="531">
        <f>DATE(gewJahr,11,22-INT(MOD(gewJahr-1+gewJahr/4,7)))</f>
        <v>42326</v>
      </c>
      <c r="K23" s="137" t="s">
        <v>63</v>
      </c>
      <c r="L23" s="121"/>
      <c r="M23" s="537" t="s">
        <v>166</v>
      </c>
      <c r="N23" s="132"/>
      <c r="O23" s="137"/>
      <c r="P23" s="107"/>
    </row>
    <row r="24" spans="2:16" ht="13.5" customHeight="1">
      <c r="B24" s="580" t="s">
        <v>263</v>
      </c>
      <c r="C24" s="511">
        <v>0</v>
      </c>
      <c r="D24" s="247"/>
      <c r="E24" s="146"/>
      <c r="F24" s="553"/>
      <c r="G24" s="554" t="s">
        <v>265</v>
      </c>
      <c r="H24" s="498">
        <v>0</v>
      </c>
      <c r="I24" s="135"/>
      <c r="J24" s="531">
        <f>DATE(gewJahr,12,25)</f>
        <v>42363</v>
      </c>
      <c r="K24" s="137" t="s">
        <v>51</v>
      </c>
      <c r="L24" s="121"/>
      <c r="M24" s="538"/>
      <c r="N24" s="132"/>
      <c r="O24" s="137"/>
      <c r="P24" s="107"/>
    </row>
    <row r="25" spans="2:16" ht="12.75">
      <c r="B25" s="581" t="s">
        <v>288</v>
      </c>
      <c r="C25" s="510">
        <v>1</v>
      </c>
      <c r="D25" s="247"/>
      <c r="E25" s="146"/>
      <c r="F25" s="145"/>
      <c r="G25" s="145"/>
      <c r="H25" s="107"/>
      <c r="J25" s="539">
        <f>DATE(gewJahr,12,26)</f>
        <v>42364</v>
      </c>
      <c r="K25" s="540" t="s">
        <v>52</v>
      </c>
      <c r="L25" s="541"/>
      <c r="M25" s="542"/>
      <c r="N25" s="142"/>
      <c r="O25" s="137"/>
      <c r="P25" s="109"/>
    </row>
    <row r="26" spans="1:16" ht="12.75">
      <c r="A26" s="122"/>
      <c r="B26" s="582" t="s">
        <v>25</v>
      </c>
      <c r="C26" s="248">
        <v>0</v>
      </c>
      <c r="D26" s="247" t="s">
        <v>22</v>
      </c>
      <c r="E26" s="121"/>
      <c r="F26" s="145"/>
      <c r="G26" s="145"/>
      <c r="H26" s="146"/>
      <c r="I26" s="121"/>
      <c r="J26" s="132"/>
      <c r="K26" s="137"/>
      <c r="L26" s="109"/>
      <c r="M26" s="109"/>
      <c r="N26" s="143"/>
      <c r="O26" s="144"/>
      <c r="P26" s="109"/>
    </row>
    <row r="27" spans="1:16" ht="12.75">
      <c r="A27" s="122"/>
      <c r="B27" s="583" t="s">
        <v>42</v>
      </c>
      <c r="C27" s="584">
        <v>0</v>
      </c>
      <c r="D27" s="585" t="s">
        <v>22</v>
      </c>
      <c r="E27" s="121"/>
      <c r="F27" s="564"/>
      <c r="G27" s="565" t="s">
        <v>61</v>
      </c>
      <c r="H27" s="159">
        <v>30</v>
      </c>
      <c r="I27" s="126"/>
      <c r="J27" s="132"/>
      <c r="K27" s="137"/>
      <c r="L27" s="109"/>
      <c r="M27" s="109"/>
      <c r="N27" s="142"/>
      <c r="O27" s="137"/>
      <c r="P27" s="109"/>
    </row>
    <row r="28" spans="1:16" ht="12.75">
      <c r="A28" s="122"/>
      <c r="B28" s="625"/>
      <c r="C28" s="625"/>
      <c r="D28" s="625"/>
      <c r="E28" s="121"/>
      <c r="F28" s="562"/>
      <c r="G28" s="563" t="s">
        <v>120</v>
      </c>
      <c r="H28" s="180" t="s">
        <v>121</v>
      </c>
      <c r="I28" s="135"/>
      <c r="J28" s="543" t="s">
        <v>213</v>
      </c>
      <c r="K28" s="544"/>
      <c r="L28" s="545"/>
      <c r="M28" s="528"/>
      <c r="N28" s="142"/>
      <c r="O28" s="137"/>
      <c r="P28" s="109"/>
    </row>
    <row r="29" spans="1:16" ht="12.75">
      <c r="A29" s="122"/>
      <c r="B29" s="625"/>
      <c r="C29" s="625"/>
      <c r="D29" s="625"/>
      <c r="E29" s="121"/>
      <c r="F29" s="109"/>
      <c r="G29" s="106"/>
      <c r="H29" s="106"/>
      <c r="I29" s="109"/>
      <c r="J29" s="546"/>
      <c r="K29" s="122"/>
      <c r="L29" s="122"/>
      <c r="M29" s="547"/>
      <c r="N29" s="142"/>
      <c r="O29" s="137"/>
      <c r="P29" s="109"/>
    </row>
    <row r="30" spans="1:16" ht="12.75">
      <c r="A30" s="122"/>
      <c r="B30" s="627" t="s">
        <v>216</v>
      </c>
      <c r="C30" s="628"/>
      <c r="D30" s="628"/>
      <c r="E30" s="626"/>
      <c r="F30" s="609"/>
      <c r="G30" s="609"/>
      <c r="H30" s="106"/>
      <c r="J30" s="546"/>
      <c r="K30" s="122"/>
      <c r="L30" s="122"/>
      <c r="M30" s="547"/>
      <c r="N30" s="132"/>
      <c r="O30" s="137"/>
      <c r="P30" s="109"/>
    </row>
    <row r="31" spans="2:16" ht="12.75">
      <c r="B31" s="336" t="s">
        <v>244</v>
      </c>
      <c r="C31" s="334">
        <v>3.3</v>
      </c>
      <c r="D31" s="246" t="s">
        <v>26</v>
      </c>
      <c r="E31" s="239"/>
      <c r="F31" s="107"/>
      <c r="G31" s="107"/>
      <c r="H31" s="148"/>
      <c r="J31" s="546"/>
      <c r="K31" s="122"/>
      <c r="L31" s="122"/>
      <c r="M31" s="547"/>
      <c r="N31" s="132"/>
      <c r="O31" s="137"/>
      <c r="P31" s="107"/>
    </row>
    <row r="32" spans="2:13" ht="12.75">
      <c r="B32" s="336" t="s">
        <v>217</v>
      </c>
      <c r="C32" s="64">
        <v>0.33</v>
      </c>
      <c r="D32" s="246" t="s">
        <v>26</v>
      </c>
      <c r="E32" s="623"/>
      <c r="F32" s="624"/>
      <c r="G32" s="624"/>
      <c r="H32" s="624"/>
      <c r="J32" s="546"/>
      <c r="K32" s="122"/>
      <c r="L32" s="122"/>
      <c r="M32" s="547"/>
    </row>
    <row r="33" spans="1:13" ht="12.75">
      <c r="A33" s="149"/>
      <c r="B33" s="336" t="s">
        <v>218</v>
      </c>
      <c r="C33" s="334">
        <v>0.63</v>
      </c>
      <c r="D33" s="246" t="s">
        <v>26</v>
      </c>
      <c r="E33" s="109"/>
      <c r="F33" s="604" t="s">
        <v>311</v>
      </c>
      <c r="G33" s="605"/>
      <c r="H33" s="606" t="s">
        <v>327</v>
      </c>
      <c r="I33" s="607"/>
      <c r="J33" s="548"/>
      <c r="K33" s="335"/>
      <c r="L33" s="335"/>
      <c r="M33" s="549"/>
    </row>
    <row r="34" spans="1:13" ht="12.75">
      <c r="A34" s="150"/>
      <c r="B34" s="239"/>
      <c r="C34" s="107"/>
      <c r="D34" s="107"/>
      <c r="E34" s="109"/>
      <c r="F34" s="109"/>
      <c r="G34" s="106"/>
      <c r="H34" s="106"/>
      <c r="M34" s="106"/>
    </row>
    <row r="35" spans="1:13" ht="12.75">
      <c r="A35" s="152"/>
      <c r="B35" s="626"/>
      <c r="C35" s="609"/>
      <c r="D35" s="609"/>
      <c r="E35" s="109"/>
      <c r="F35" s="365"/>
      <c r="G35" s="106"/>
      <c r="H35" s="366"/>
      <c r="M35" s="106"/>
    </row>
    <row r="36" spans="1:13" ht="12.75">
      <c r="A36" s="152"/>
      <c r="B36" s="130"/>
      <c r="C36" s="130"/>
      <c r="D36" s="106"/>
      <c r="E36" s="109"/>
      <c r="F36" s="109"/>
      <c r="G36" s="106"/>
      <c r="H36" s="106"/>
      <c r="M36" s="106"/>
    </row>
    <row r="37" spans="1:13" ht="12.75">
      <c r="A37" s="152"/>
      <c r="B37" s="151"/>
      <c r="C37" s="130"/>
      <c r="D37" s="106"/>
      <c r="E37" s="109"/>
      <c r="F37" s="109"/>
      <c r="G37" s="106"/>
      <c r="H37" s="106"/>
      <c r="M37" s="106"/>
    </row>
    <row r="38" spans="1:13" ht="12.75">
      <c r="A38" s="147"/>
      <c r="B38" s="153"/>
      <c r="C38" s="130"/>
      <c r="D38" s="106"/>
      <c r="E38" s="109"/>
      <c r="F38" s="109"/>
      <c r="G38" s="106"/>
      <c r="H38" s="106"/>
      <c r="M38" s="106"/>
    </row>
    <row r="39" spans="1:13" ht="12.75">
      <c r="A39" s="147"/>
      <c r="B39" s="130"/>
      <c r="C39" s="130"/>
      <c r="D39" s="106"/>
      <c r="E39" s="109"/>
      <c r="F39" s="109"/>
      <c r="G39" s="106"/>
      <c r="H39" s="106"/>
      <c r="M39" s="106"/>
    </row>
    <row r="40" spans="1:13" ht="12.75">
      <c r="A40" s="622"/>
      <c r="B40" s="622"/>
      <c r="C40" s="622"/>
      <c r="D40" s="622"/>
      <c r="E40" s="622"/>
      <c r="F40" s="622"/>
      <c r="G40" s="622"/>
      <c r="H40" s="622"/>
      <c r="I40" s="622"/>
      <c r="M40" s="106"/>
    </row>
    <row r="41" ht="12.75" hidden="1"/>
    <row r="42" ht="12.75" hidden="1"/>
    <row r="43" ht="12.75" hidden="1"/>
    <row r="44" spans="2:6" ht="12.75" hidden="1">
      <c r="B44" s="9"/>
      <c r="C44" s="7"/>
      <c r="E44" s="109"/>
      <c r="F44" s="8"/>
    </row>
    <row r="45" spans="2:6" ht="12.75" hidden="1">
      <c r="B45" s="10"/>
      <c r="C45" s="7"/>
      <c r="E45" s="109"/>
      <c r="F45" s="8"/>
    </row>
    <row r="46" spans="2:6" ht="12.75" hidden="1">
      <c r="B46" s="7"/>
      <c r="C46" s="7"/>
      <c r="E46" s="109"/>
      <c r="F46" s="8"/>
    </row>
    <row r="47" spans="2:6" ht="12.75" hidden="1">
      <c r="B47" s="7"/>
      <c r="C47" s="7"/>
      <c r="E47" s="109"/>
      <c r="F47" s="8"/>
    </row>
    <row r="48" spans="2:6" ht="12.75" hidden="1">
      <c r="B48" s="7"/>
      <c r="C48" s="7"/>
      <c r="E48" s="109"/>
      <c r="F48" s="8"/>
    </row>
  </sheetData>
  <sheetProtection/>
  <mergeCells count="20">
    <mergeCell ref="F18:G18"/>
    <mergeCell ref="N16:O16"/>
    <mergeCell ref="A40:I40"/>
    <mergeCell ref="E32:H32"/>
    <mergeCell ref="B29:D29"/>
    <mergeCell ref="E30:G30"/>
    <mergeCell ref="B35:D35"/>
    <mergeCell ref="B28:D28"/>
    <mergeCell ref="B30:D30"/>
    <mergeCell ref="F23:G23"/>
    <mergeCell ref="F14:G14"/>
    <mergeCell ref="B3:B4"/>
    <mergeCell ref="C3:C4"/>
    <mergeCell ref="F33:G33"/>
    <mergeCell ref="H33:I33"/>
    <mergeCell ref="K1:K2"/>
    <mergeCell ref="F15:G15"/>
    <mergeCell ref="F16:G16"/>
    <mergeCell ref="F13:G13"/>
    <mergeCell ref="F17:G17"/>
  </mergeCells>
  <conditionalFormatting sqref="C20">
    <cfRule type="cellIs" priority="1" dxfId="243" operator="between" stopIfTrue="1">
      <formula>0</formula>
      <formula>5</formula>
    </cfRule>
  </conditionalFormatting>
  <dataValidations count="6">
    <dataValidation type="list" allowBlank="1" showInputMessage="1" showErrorMessage="1" sqref="C12">
      <formula1>"1,2,3,4,5,6"</formula1>
    </dataValidation>
    <dataValidation type="list" allowBlank="1" showInputMessage="1" showErrorMessage="1" sqref="C14 C19:C22 C25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  <dataValidation type="list" allowBlank="1" showInputMessage="1" showErrorMessage="1" sqref="C24">
      <formula1>"0,1,2"</formula1>
    </dataValidation>
  </dataValidations>
  <hyperlinks>
    <hyperlink ref="F33" r:id="rId1" display="steuer@parmentier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59"/>
  <sheetViews>
    <sheetView defaultGridColor="0" zoomScalePageLayoutView="0" colorId="22" workbookViewId="0" topLeftCell="A1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Mai "&amp;gewJahr</f>
        <v>Arbeitszeitachweis Mai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16.5" customHeight="1" hidden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6.5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6.25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 customHeight="1">
      <c r="A8" s="216"/>
      <c r="B8" s="228">
        <f>DATE(gewJahr,5,1)</f>
        <v>42125</v>
      </c>
      <c r="C8" s="229">
        <f aca="true" t="shared" si="0" ref="C8:C38">WEEKDAY(B8)</f>
        <v>6</v>
      </c>
      <c r="D8" s="230">
        <v>0</v>
      </c>
      <c r="E8" s="230">
        <v>0</v>
      </c>
      <c r="F8" s="279">
        <f>MAX(IF(D8&lt;=E8,E8-D8,"24:00"-D8+E8)-G8,0)</f>
        <v>0</v>
      </c>
      <c r="G8" s="230">
        <v>0.03125</v>
      </c>
      <c r="H8" s="285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 customHeight="1">
      <c r="A9" s="216"/>
      <c r="B9" s="202">
        <f aca="true" t="shared" si="1" ref="B9:B38">B8+1</f>
        <v>42126</v>
      </c>
      <c r="C9" s="203">
        <f t="shared" si="0"/>
        <v>7</v>
      </c>
      <c r="D9" s="204">
        <v>0</v>
      </c>
      <c r="E9" s="204">
        <v>0</v>
      </c>
      <c r="F9" s="280">
        <f aca="true" t="shared" si="2" ref="F9:F38">MAX(IF(D9&lt;=E9,E9-D9,"24:00"-D9+E9)-G9,0)</f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 customHeight="1">
      <c r="A10" s="216"/>
      <c r="B10" s="202">
        <f t="shared" si="1"/>
        <v>42127</v>
      </c>
      <c r="C10" s="203">
        <f t="shared" si="0"/>
        <v>1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aca="true" t="shared" si="3" ref="H10:H38">IF(F10-I10&gt;0,F10-I10,0)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 customHeight="1">
      <c r="A11" s="216"/>
      <c r="B11" s="202">
        <f t="shared" si="1"/>
        <v>42128</v>
      </c>
      <c r="C11" s="203">
        <f t="shared" si="0"/>
        <v>2</v>
      </c>
      <c r="D11" s="204">
        <v>0</v>
      </c>
      <c r="E11" s="204">
        <v>0</v>
      </c>
      <c r="F11" s="280">
        <f t="shared" si="2"/>
        <v>0</v>
      </c>
      <c r="G11" s="204">
        <v>0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 customHeight="1">
      <c r="A12" s="216"/>
      <c r="B12" s="202">
        <f t="shared" si="1"/>
        <v>42129</v>
      </c>
      <c r="C12" s="203">
        <f t="shared" si="0"/>
        <v>3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 customHeight="1">
      <c r="A13" s="216"/>
      <c r="B13" s="202">
        <f t="shared" si="1"/>
        <v>42130</v>
      </c>
      <c r="C13" s="203">
        <f t="shared" si="0"/>
        <v>4</v>
      </c>
      <c r="D13" s="204">
        <v>0</v>
      </c>
      <c r="E13" s="204">
        <v>0</v>
      </c>
      <c r="F13" s="280">
        <f t="shared" si="2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 customHeight="1">
      <c r="A14" s="216"/>
      <c r="B14" s="202">
        <f t="shared" si="1"/>
        <v>42131</v>
      </c>
      <c r="C14" s="203">
        <f t="shared" si="0"/>
        <v>5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 customHeight="1">
      <c r="A15" s="216"/>
      <c r="B15" s="202">
        <f t="shared" si="1"/>
        <v>42132</v>
      </c>
      <c r="C15" s="203">
        <f t="shared" si="0"/>
        <v>6</v>
      </c>
      <c r="D15" s="204">
        <v>0</v>
      </c>
      <c r="E15" s="204">
        <v>0</v>
      </c>
      <c r="F15" s="280">
        <f t="shared" si="2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 customHeight="1">
      <c r="A16" s="216"/>
      <c r="B16" s="202">
        <f t="shared" si="1"/>
        <v>42133</v>
      </c>
      <c r="C16" s="203">
        <f t="shared" si="0"/>
        <v>7</v>
      </c>
      <c r="D16" s="204">
        <v>0</v>
      </c>
      <c r="E16" s="204">
        <v>0</v>
      </c>
      <c r="F16" s="280">
        <f t="shared" si="2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 customHeight="1">
      <c r="A17" s="216"/>
      <c r="B17" s="202">
        <f t="shared" si="1"/>
        <v>42134</v>
      </c>
      <c r="C17" s="203">
        <f t="shared" si="0"/>
        <v>1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 customHeight="1">
      <c r="A18" s="216"/>
      <c r="B18" s="202">
        <f t="shared" si="1"/>
        <v>42135</v>
      </c>
      <c r="C18" s="203">
        <f t="shared" si="0"/>
        <v>2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 customHeight="1">
      <c r="A19" s="216"/>
      <c r="B19" s="202">
        <f t="shared" si="1"/>
        <v>42136</v>
      </c>
      <c r="C19" s="203">
        <f t="shared" si="0"/>
        <v>3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 customHeight="1">
      <c r="A20" s="216"/>
      <c r="B20" s="202">
        <f t="shared" si="1"/>
        <v>42137</v>
      </c>
      <c r="C20" s="203">
        <f t="shared" si="0"/>
        <v>4</v>
      </c>
      <c r="D20" s="204">
        <v>0.3333333333333333</v>
      </c>
      <c r="E20" s="204">
        <v>0.6875</v>
      </c>
      <c r="F20" s="280">
        <f t="shared" si="2"/>
        <v>0.33333333333333337</v>
      </c>
      <c r="G20" s="204">
        <v>0.020833333333333332</v>
      </c>
      <c r="H20" s="281">
        <f t="shared" si="3"/>
        <v>0.33333333333333337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 customHeight="1">
      <c r="A21" s="216"/>
      <c r="B21" s="202">
        <f t="shared" si="1"/>
        <v>42138</v>
      </c>
      <c r="C21" s="203">
        <f t="shared" si="0"/>
        <v>5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 customHeight="1">
      <c r="A22" s="216"/>
      <c r="B22" s="202">
        <f t="shared" si="1"/>
        <v>42139</v>
      </c>
      <c r="C22" s="203">
        <f t="shared" si="0"/>
        <v>6</v>
      </c>
      <c r="D22" s="204">
        <v>0</v>
      </c>
      <c r="E22" s="204">
        <v>0</v>
      </c>
      <c r="F22" s="280">
        <f t="shared" si="2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 customHeight="1">
      <c r="A23" s="216"/>
      <c r="B23" s="202">
        <f t="shared" si="1"/>
        <v>42140</v>
      </c>
      <c r="C23" s="203">
        <f t="shared" si="0"/>
        <v>7</v>
      </c>
      <c r="D23" s="204">
        <v>0.3333333333333333</v>
      </c>
      <c r="E23" s="204">
        <v>0.4791666666666667</v>
      </c>
      <c r="F23" s="280">
        <f t="shared" si="2"/>
        <v>0.11458333333333337</v>
      </c>
      <c r="G23" s="204">
        <v>0.03125</v>
      </c>
      <c r="H23" s="281">
        <f t="shared" si="3"/>
        <v>0.11458333333333337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 customHeight="1">
      <c r="A24" s="216"/>
      <c r="B24" s="202">
        <f t="shared" si="1"/>
        <v>42141</v>
      </c>
      <c r="C24" s="203">
        <f t="shared" si="0"/>
        <v>1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 customHeight="1">
      <c r="A25" s="216"/>
      <c r="B25" s="202">
        <f t="shared" si="1"/>
        <v>42142</v>
      </c>
      <c r="C25" s="203">
        <f t="shared" si="0"/>
        <v>2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 customHeight="1">
      <c r="A26" s="216"/>
      <c r="B26" s="202">
        <f t="shared" si="1"/>
        <v>42143</v>
      </c>
      <c r="C26" s="203">
        <f t="shared" si="0"/>
        <v>3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 customHeight="1">
      <c r="A27" s="216"/>
      <c r="B27" s="202">
        <f t="shared" si="1"/>
        <v>42144</v>
      </c>
      <c r="C27" s="203">
        <f t="shared" si="0"/>
        <v>4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 customHeight="1">
      <c r="A28" s="216"/>
      <c r="B28" s="202">
        <f t="shared" si="1"/>
        <v>42145</v>
      </c>
      <c r="C28" s="203">
        <f t="shared" si="0"/>
        <v>5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 customHeight="1">
      <c r="A29" s="216"/>
      <c r="B29" s="202">
        <f t="shared" si="1"/>
        <v>42146</v>
      </c>
      <c r="C29" s="203">
        <f t="shared" si="0"/>
        <v>6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 customHeight="1">
      <c r="A30" s="216"/>
      <c r="B30" s="202">
        <f t="shared" si="1"/>
        <v>42147</v>
      </c>
      <c r="C30" s="203">
        <f t="shared" si="0"/>
        <v>7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 customHeight="1">
      <c r="A31" s="216"/>
      <c r="B31" s="202">
        <f t="shared" si="1"/>
        <v>42148</v>
      </c>
      <c r="C31" s="203">
        <f t="shared" si="0"/>
        <v>1</v>
      </c>
      <c r="D31" s="204">
        <v>0</v>
      </c>
      <c r="E31" s="204">
        <v>0</v>
      </c>
      <c r="F31" s="280">
        <f t="shared" si="2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 customHeight="1">
      <c r="A32" s="216"/>
      <c r="B32" s="202">
        <f t="shared" si="1"/>
        <v>42149</v>
      </c>
      <c r="C32" s="203">
        <f t="shared" si="0"/>
        <v>2</v>
      </c>
      <c r="D32" s="204">
        <v>0</v>
      </c>
      <c r="E32" s="204">
        <v>0</v>
      </c>
      <c r="F32" s="280">
        <f t="shared" si="2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 customHeight="1">
      <c r="A33" s="216"/>
      <c r="B33" s="202">
        <f t="shared" si="1"/>
        <v>42150</v>
      </c>
      <c r="C33" s="203">
        <f t="shared" si="0"/>
        <v>3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 customHeight="1">
      <c r="A34" s="216"/>
      <c r="B34" s="202">
        <f t="shared" si="1"/>
        <v>42151</v>
      </c>
      <c r="C34" s="203">
        <f t="shared" si="0"/>
        <v>4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 customHeight="1">
      <c r="A35" s="216"/>
      <c r="B35" s="202">
        <f t="shared" si="1"/>
        <v>42152</v>
      </c>
      <c r="C35" s="203">
        <f t="shared" si="0"/>
        <v>5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 customHeight="1">
      <c r="A36" s="216"/>
      <c r="B36" s="202">
        <f t="shared" si="1"/>
        <v>42153</v>
      </c>
      <c r="C36" s="203">
        <f t="shared" si="0"/>
        <v>6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>
        <f t="shared" si="1"/>
        <v>42154</v>
      </c>
      <c r="C37" s="203">
        <f t="shared" si="0"/>
        <v>7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>
        <f t="shared" si="1"/>
        <v>42155</v>
      </c>
      <c r="C38" s="203">
        <f t="shared" si="0"/>
        <v>1</v>
      </c>
      <c r="D38" s="204">
        <v>0</v>
      </c>
      <c r="E38" s="204">
        <v>0</v>
      </c>
      <c r="F38" s="280">
        <f t="shared" si="2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6" t="s">
        <v>88</v>
      </c>
      <c r="E39" s="657"/>
      <c r="F39" s="282">
        <f>SUM(F8:F38)</f>
        <v>1.1145833333333335</v>
      </c>
      <c r="G39" s="209"/>
      <c r="H39" s="282">
        <f>SUM(H8:H38)</f>
        <v>1.1145833333333335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 customHeight="1">
      <c r="A40" s="220"/>
      <c r="B40" s="254">
        <f>Ostern(gewJahr)</f>
        <v>42099</v>
      </c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 customHeight="1">
      <c r="A41" s="220"/>
      <c r="B41" s="254" t="s">
        <v>124</v>
      </c>
      <c r="C41" s="208"/>
      <c r="D41" s="660" t="s">
        <v>122</v>
      </c>
      <c r="E41" s="661"/>
      <c r="F41" s="296">
        <v>0</v>
      </c>
      <c r="G41" s="662" t="s">
        <v>115</v>
      </c>
      <c r="H41" s="645"/>
      <c r="I41" s="645"/>
      <c r="J41" s="213">
        <f>April!J41-J40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 customHeight="1">
      <c r="A42" s="220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0.8958333333333334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0.3333333333333333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OR($B9=$B$40+39,$B9=$B$40+49,$B9=$B$40+50,$B9=$B$40+60)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OR($B9=$B$40+39,$B9=$B$40+49,$B9=$B$40+50,$B9=$B$40+60)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OR($B9=$B$40+39,$B9=$B$40+49,$B9=$B$40+50,$B9=$B$40+60)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 customHeight="1">
      <c r="B2" s="459" t="str">
        <f>"Arbeitszeitachweis Juni "&amp;gewJahr</f>
        <v>Arbeitszeitachweis Juni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15" customHeight="1" hidden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2.75" customHeight="1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2:14" ht="23.25" customHeight="1"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2:14" ht="12" customHeight="1">
      <c r="B8" s="202">
        <f>DATE(gewJahr,6,1)</f>
        <v>42156</v>
      </c>
      <c r="C8" s="203">
        <f aca="true" t="shared" si="0" ref="C8:C37">WEEKDAY(B8)</f>
        <v>2</v>
      </c>
      <c r="D8" s="204">
        <v>0</v>
      </c>
      <c r="E8" s="204">
        <v>0</v>
      </c>
      <c r="F8" s="478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79"/>
      <c r="M8" s="79"/>
      <c r="N8" s="79"/>
    </row>
    <row r="9" spans="2:14" ht="12" customHeight="1">
      <c r="B9" s="202">
        <f aca="true" t="shared" si="2" ref="B9:B37">B8+1</f>
        <v>42157</v>
      </c>
      <c r="C9" s="203">
        <f t="shared" si="0"/>
        <v>3</v>
      </c>
      <c r="D9" s="204">
        <v>0</v>
      </c>
      <c r="E9" s="204">
        <v>0</v>
      </c>
      <c r="F9" s="478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65"/>
      <c r="M9" s="65"/>
      <c r="N9" s="65"/>
    </row>
    <row r="10" spans="2:14" ht="12" customHeight="1">
      <c r="B10" s="202">
        <f t="shared" si="2"/>
        <v>42158</v>
      </c>
      <c r="C10" s="203">
        <f t="shared" si="0"/>
        <v>4</v>
      </c>
      <c r="D10" s="204">
        <v>0</v>
      </c>
      <c r="E10" s="204">
        <v>0</v>
      </c>
      <c r="F10" s="478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65"/>
      <c r="M10" s="65"/>
      <c r="N10" s="65"/>
    </row>
    <row r="11" spans="2:14" ht="12" customHeight="1">
      <c r="B11" s="202">
        <f t="shared" si="2"/>
        <v>42159</v>
      </c>
      <c r="C11" s="203">
        <f t="shared" si="0"/>
        <v>5</v>
      </c>
      <c r="D11" s="204">
        <v>0.7916666666666666</v>
      </c>
      <c r="E11" s="204">
        <v>0.08333333333333333</v>
      </c>
      <c r="F11" s="478">
        <f t="shared" si="1"/>
        <v>0.27083333333333337</v>
      </c>
      <c r="G11" s="204">
        <v>0.020833333333333332</v>
      </c>
      <c r="H11" s="281">
        <f t="shared" si="3"/>
        <v>0.10416666666666669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0.16666666666666669</v>
      </c>
      <c r="J11" s="201"/>
      <c r="K11" s="217"/>
      <c r="L11" s="65"/>
      <c r="M11" s="65"/>
      <c r="N11" s="65"/>
    </row>
    <row r="12" spans="2:14" ht="12" customHeight="1">
      <c r="B12" s="202">
        <f t="shared" si="2"/>
        <v>42160</v>
      </c>
      <c r="C12" s="203">
        <f t="shared" si="0"/>
        <v>6</v>
      </c>
      <c r="D12" s="204">
        <v>0</v>
      </c>
      <c r="E12" s="204">
        <v>0</v>
      </c>
      <c r="F12" s="478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65"/>
      <c r="M12" s="65"/>
      <c r="N12" s="65"/>
    </row>
    <row r="13" spans="2:14" ht="12" customHeight="1">
      <c r="B13" s="202">
        <f t="shared" si="2"/>
        <v>42161</v>
      </c>
      <c r="C13" s="203">
        <f t="shared" si="0"/>
        <v>7</v>
      </c>
      <c r="D13" s="204">
        <v>0</v>
      </c>
      <c r="E13" s="204">
        <v>0</v>
      </c>
      <c r="F13" s="478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79"/>
      <c r="M13" s="65"/>
      <c r="N13" s="65"/>
    </row>
    <row r="14" spans="2:14" ht="12" customHeight="1">
      <c r="B14" s="202">
        <f t="shared" si="2"/>
        <v>42162</v>
      </c>
      <c r="C14" s="203">
        <f t="shared" si="0"/>
        <v>1</v>
      </c>
      <c r="D14" s="204">
        <v>0</v>
      </c>
      <c r="E14" s="204">
        <v>0</v>
      </c>
      <c r="F14" s="478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65"/>
      <c r="M14" s="65"/>
      <c r="N14" s="65"/>
    </row>
    <row r="15" spans="2:14" ht="12" customHeight="1">
      <c r="B15" s="202">
        <f t="shared" si="2"/>
        <v>42163</v>
      </c>
      <c r="C15" s="203">
        <f t="shared" si="0"/>
        <v>2</v>
      </c>
      <c r="D15" s="204">
        <v>0</v>
      </c>
      <c r="E15" s="204">
        <v>0</v>
      </c>
      <c r="F15" s="478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65"/>
      <c r="M15" s="65"/>
      <c r="N15" s="65"/>
    </row>
    <row r="16" spans="2:14" ht="12" customHeight="1">
      <c r="B16" s="202">
        <f t="shared" si="2"/>
        <v>42164</v>
      </c>
      <c r="C16" s="203">
        <f t="shared" si="0"/>
        <v>3</v>
      </c>
      <c r="D16" s="204">
        <v>0</v>
      </c>
      <c r="E16" s="204">
        <v>0</v>
      </c>
      <c r="F16" s="478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65"/>
      <c r="M16" s="65"/>
      <c r="N16" s="65"/>
    </row>
    <row r="17" spans="2:14" ht="12" customHeight="1">
      <c r="B17" s="202">
        <f t="shared" si="2"/>
        <v>42165</v>
      </c>
      <c r="C17" s="203">
        <f t="shared" si="0"/>
        <v>4</v>
      </c>
      <c r="D17" s="204">
        <v>0</v>
      </c>
      <c r="E17" s="204">
        <v>0</v>
      </c>
      <c r="F17" s="478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65"/>
      <c r="M17" s="65"/>
      <c r="N17" s="65"/>
    </row>
    <row r="18" spans="2:14" ht="12" customHeight="1">
      <c r="B18" s="202">
        <f t="shared" si="2"/>
        <v>42166</v>
      </c>
      <c r="C18" s="203">
        <f t="shared" si="0"/>
        <v>5</v>
      </c>
      <c r="D18" s="204">
        <v>0</v>
      </c>
      <c r="E18" s="204">
        <v>0</v>
      </c>
      <c r="F18" s="478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65"/>
      <c r="M18" s="65"/>
      <c r="N18" s="65"/>
    </row>
    <row r="19" spans="2:14" ht="12" customHeight="1">
      <c r="B19" s="202">
        <f t="shared" si="2"/>
        <v>42167</v>
      </c>
      <c r="C19" s="203">
        <f t="shared" si="0"/>
        <v>6</v>
      </c>
      <c r="D19" s="204">
        <v>0</v>
      </c>
      <c r="E19" s="204">
        <v>0</v>
      </c>
      <c r="F19" s="478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65"/>
      <c r="M19" s="65"/>
      <c r="N19" s="65"/>
    </row>
    <row r="20" spans="2:14" ht="12" customHeight="1">
      <c r="B20" s="202">
        <f t="shared" si="2"/>
        <v>42168</v>
      </c>
      <c r="C20" s="203">
        <f t="shared" si="0"/>
        <v>7</v>
      </c>
      <c r="D20" s="204">
        <v>0</v>
      </c>
      <c r="E20" s="204">
        <v>0</v>
      </c>
      <c r="F20" s="478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65"/>
      <c r="M20" s="65"/>
      <c r="N20" s="65"/>
    </row>
    <row r="21" spans="2:14" ht="12" customHeight="1">
      <c r="B21" s="202">
        <f t="shared" si="2"/>
        <v>42169</v>
      </c>
      <c r="C21" s="203">
        <f t="shared" si="0"/>
        <v>1</v>
      </c>
      <c r="D21" s="204">
        <v>0</v>
      </c>
      <c r="E21" s="204">
        <v>0</v>
      </c>
      <c r="F21" s="478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65"/>
      <c r="M21" s="65"/>
      <c r="N21" s="65"/>
    </row>
    <row r="22" spans="2:14" ht="12" customHeight="1">
      <c r="B22" s="202">
        <f t="shared" si="2"/>
        <v>42170</v>
      </c>
      <c r="C22" s="203">
        <f t="shared" si="0"/>
        <v>2</v>
      </c>
      <c r="D22" s="204">
        <v>0</v>
      </c>
      <c r="E22" s="204">
        <v>0</v>
      </c>
      <c r="F22" s="478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65"/>
      <c r="M22" s="65"/>
      <c r="N22" s="65"/>
    </row>
    <row r="23" spans="2:14" ht="12" customHeight="1">
      <c r="B23" s="202">
        <f t="shared" si="2"/>
        <v>42171</v>
      </c>
      <c r="C23" s="203">
        <f t="shared" si="0"/>
        <v>3</v>
      </c>
      <c r="D23" s="204">
        <v>0</v>
      </c>
      <c r="E23" s="204">
        <v>0</v>
      </c>
      <c r="F23" s="478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65"/>
      <c r="M23" s="65"/>
      <c r="N23" s="65"/>
    </row>
    <row r="24" spans="2:14" ht="12" customHeight="1">
      <c r="B24" s="202">
        <f t="shared" si="2"/>
        <v>42172</v>
      </c>
      <c r="C24" s="203">
        <f t="shared" si="0"/>
        <v>4</v>
      </c>
      <c r="D24" s="204">
        <v>0</v>
      </c>
      <c r="E24" s="204">
        <v>0</v>
      </c>
      <c r="F24" s="478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65"/>
      <c r="M24" s="65"/>
      <c r="N24" s="65"/>
    </row>
    <row r="25" spans="2:14" ht="12" customHeight="1">
      <c r="B25" s="202">
        <f t="shared" si="2"/>
        <v>42173</v>
      </c>
      <c r="C25" s="203">
        <f t="shared" si="0"/>
        <v>5</v>
      </c>
      <c r="D25" s="204">
        <v>0.3333333333333333</v>
      </c>
      <c r="E25" s="204">
        <v>0.6666666666666666</v>
      </c>
      <c r="F25" s="478">
        <f t="shared" si="1"/>
        <v>0.3020833333333333</v>
      </c>
      <c r="G25" s="204">
        <v>0.03125</v>
      </c>
      <c r="H25" s="281">
        <f t="shared" si="3"/>
        <v>0.3020833333333333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65"/>
      <c r="M25" s="65"/>
      <c r="N25" s="65"/>
    </row>
    <row r="26" spans="2:14" ht="12" customHeight="1">
      <c r="B26" s="202">
        <f t="shared" si="2"/>
        <v>42174</v>
      </c>
      <c r="C26" s="203">
        <f t="shared" si="0"/>
        <v>6</v>
      </c>
      <c r="D26" s="204">
        <v>0.3333333333333333</v>
      </c>
      <c r="E26" s="204">
        <v>0.6666666666666666</v>
      </c>
      <c r="F26" s="478">
        <f t="shared" si="1"/>
        <v>0.3020833333333333</v>
      </c>
      <c r="G26" s="204">
        <v>0.03125</v>
      </c>
      <c r="H26" s="281">
        <f t="shared" si="3"/>
        <v>0.3020833333333333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65"/>
      <c r="M26" s="65"/>
      <c r="N26" s="65"/>
    </row>
    <row r="27" spans="2:14" ht="12" customHeight="1">
      <c r="B27" s="202">
        <f t="shared" si="2"/>
        <v>42175</v>
      </c>
      <c r="C27" s="203">
        <f t="shared" si="0"/>
        <v>7</v>
      </c>
      <c r="D27" s="204">
        <v>0.3333333333333333</v>
      </c>
      <c r="E27" s="204">
        <v>0.6666666666666666</v>
      </c>
      <c r="F27" s="478">
        <f t="shared" si="1"/>
        <v>0.3020833333333333</v>
      </c>
      <c r="G27" s="204">
        <v>0.03125</v>
      </c>
      <c r="H27" s="281">
        <f t="shared" si="3"/>
        <v>0.3020833333333333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65"/>
      <c r="M27" s="65"/>
      <c r="N27" s="65"/>
    </row>
    <row r="28" spans="2:14" ht="12" customHeight="1">
      <c r="B28" s="202">
        <f t="shared" si="2"/>
        <v>42176</v>
      </c>
      <c r="C28" s="203">
        <f t="shared" si="0"/>
        <v>1</v>
      </c>
      <c r="D28" s="204">
        <v>0</v>
      </c>
      <c r="E28" s="204">
        <v>0</v>
      </c>
      <c r="F28" s="478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65"/>
      <c r="M28" s="65"/>
      <c r="N28" s="65"/>
    </row>
    <row r="29" spans="2:14" ht="12" customHeight="1">
      <c r="B29" s="202">
        <f t="shared" si="2"/>
        <v>42177</v>
      </c>
      <c r="C29" s="203">
        <f t="shared" si="0"/>
        <v>2</v>
      </c>
      <c r="D29" s="204">
        <v>0</v>
      </c>
      <c r="E29" s="204">
        <v>0</v>
      </c>
      <c r="F29" s="478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65"/>
      <c r="M29" s="65"/>
      <c r="N29" s="65"/>
    </row>
    <row r="30" spans="2:14" ht="12" customHeight="1">
      <c r="B30" s="202">
        <f t="shared" si="2"/>
        <v>42178</v>
      </c>
      <c r="C30" s="203">
        <f t="shared" si="0"/>
        <v>3</v>
      </c>
      <c r="D30" s="204">
        <v>0</v>
      </c>
      <c r="E30" s="204">
        <v>0</v>
      </c>
      <c r="F30" s="478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65"/>
      <c r="M30" s="65"/>
      <c r="N30" s="65"/>
    </row>
    <row r="31" spans="2:14" ht="12" customHeight="1">
      <c r="B31" s="202">
        <f t="shared" si="2"/>
        <v>42179</v>
      </c>
      <c r="C31" s="203">
        <f t="shared" si="0"/>
        <v>4</v>
      </c>
      <c r="D31" s="204">
        <v>0.375</v>
      </c>
      <c r="E31" s="204">
        <v>0.6666666666666666</v>
      </c>
      <c r="F31" s="478">
        <f t="shared" si="1"/>
        <v>0.26041666666666663</v>
      </c>
      <c r="G31" s="204">
        <v>0.03125</v>
      </c>
      <c r="H31" s="281">
        <f t="shared" si="3"/>
        <v>0.26041666666666663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65"/>
      <c r="M31" s="65"/>
      <c r="N31" s="65"/>
    </row>
    <row r="32" spans="2:14" ht="12" customHeight="1">
      <c r="B32" s="202">
        <f t="shared" si="2"/>
        <v>42180</v>
      </c>
      <c r="C32" s="203">
        <f t="shared" si="0"/>
        <v>5</v>
      </c>
      <c r="D32" s="204">
        <v>0</v>
      </c>
      <c r="E32" s="204">
        <v>0</v>
      </c>
      <c r="F32" s="478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65"/>
      <c r="M32" s="65"/>
      <c r="N32" s="65"/>
    </row>
    <row r="33" spans="2:14" ht="12" customHeight="1">
      <c r="B33" s="202">
        <f t="shared" si="2"/>
        <v>42181</v>
      </c>
      <c r="C33" s="203">
        <f t="shared" si="0"/>
        <v>6</v>
      </c>
      <c r="D33" s="204">
        <v>0</v>
      </c>
      <c r="E33" s="204">
        <v>0</v>
      </c>
      <c r="F33" s="478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65"/>
      <c r="M33" s="65"/>
      <c r="N33" s="65"/>
    </row>
    <row r="34" spans="2:14" ht="12" customHeight="1">
      <c r="B34" s="202">
        <f t="shared" si="2"/>
        <v>42182</v>
      </c>
      <c r="C34" s="203">
        <f t="shared" si="0"/>
        <v>7</v>
      </c>
      <c r="D34" s="204">
        <v>0</v>
      </c>
      <c r="E34" s="204">
        <v>0</v>
      </c>
      <c r="F34" s="478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65"/>
      <c r="M34" s="65"/>
      <c r="N34" s="65"/>
    </row>
    <row r="35" spans="2:14" ht="12" customHeight="1">
      <c r="B35" s="202">
        <f t="shared" si="2"/>
        <v>42183</v>
      </c>
      <c r="C35" s="203">
        <f t="shared" si="0"/>
        <v>1</v>
      </c>
      <c r="D35" s="204">
        <v>0</v>
      </c>
      <c r="E35" s="204">
        <v>0</v>
      </c>
      <c r="F35" s="478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65"/>
      <c r="M35" s="65"/>
      <c r="N35" s="65"/>
    </row>
    <row r="36" spans="2:14" ht="12" customHeight="1">
      <c r="B36" s="202">
        <f t="shared" si="2"/>
        <v>42184</v>
      </c>
      <c r="C36" s="203">
        <f t="shared" si="0"/>
        <v>2</v>
      </c>
      <c r="D36" s="204">
        <v>0</v>
      </c>
      <c r="E36" s="204">
        <v>0</v>
      </c>
      <c r="F36" s="478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65"/>
      <c r="M36" s="65"/>
      <c r="N36" s="65"/>
    </row>
    <row r="37" spans="2:14" ht="12" customHeight="1">
      <c r="B37" s="202">
        <f t="shared" si="2"/>
        <v>42185</v>
      </c>
      <c r="C37" s="203">
        <f t="shared" si="0"/>
        <v>3</v>
      </c>
      <c r="D37" s="204">
        <v>0</v>
      </c>
      <c r="E37" s="204">
        <v>0</v>
      </c>
      <c r="F37" s="478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65"/>
      <c r="M37" s="65"/>
      <c r="N37" s="65"/>
    </row>
    <row r="38" spans="2:14" ht="12" customHeight="1">
      <c r="B38" s="202"/>
      <c r="C38" s="203"/>
      <c r="D38" s="204"/>
      <c r="E38" s="204"/>
      <c r="F38" s="478"/>
      <c r="G38" s="204"/>
      <c r="H38" s="207"/>
      <c r="I38" s="200"/>
      <c r="J38" s="255"/>
      <c r="K38" s="217"/>
      <c r="L38" s="65"/>
      <c r="M38" s="65"/>
      <c r="N38" s="65"/>
    </row>
    <row r="39" spans="1:14" ht="12" customHeight="1">
      <c r="A39" s="167"/>
      <c r="B39" s="192"/>
      <c r="C39" s="208"/>
      <c r="D39" s="656" t="s">
        <v>88</v>
      </c>
      <c r="E39" s="657"/>
      <c r="F39" s="282">
        <f>SUM(F8:F38)</f>
        <v>1.4375</v>
      </c>
      <c r="G39" s="209"/>
      <c r="H39" s="282">
        <f>SUM(H8:H38)</f>
        <v>1.270833333333333</v>
      </c>
      <c r="I39" s="479">
        <f>SUM(I8:I38)</f>
        <v>0.16666666666666669</v>
      </c>
      <c r="J39" s="255"/>
      <c r="K39" s="217"/>
      <c r="L39" s="65"/>
      <c r="M39" s="65"/>
      <c r="N39" s="65"/>
    </row>
    <row r="40" spans="1:14" ht="12" customHeight="1">
      <c r="A40" s="167"/>
      <c r="B40" s="254">
        <f>Ostern(gewJahr)</f>
        <v>42099</v>
      </c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65"/>
      <c r="M40" s="65"/>
      <c r="N40" s="65"/>
    </row>
    <row r="41" spans="1:14" ht="12" customHeight="1">
      <c r="A41" s="167"/>
      <c r="B41" s="254" t="s">
        <v>124</v>
      </c>
      <c r="C41" s="208"/>
      <c r="D41" s="660" t="s">
        <v>122</v>
      </c>
      <c r="E41" s="661"/>
      <c r="F41" s="296">
        <v>0</v>
      </c>
      <c r="G41" s="662" t="s">
        <v>115</v>
      </c>
      <c r="H41" s="645"/>
      <c r="I41" s="645"/>
      <c r="J41" s="213">
        <f>Mai!J41-J40</f>
        <v>24</v>
      </c>
      <c r="K41" s="197"/>
      <c r="L41" s="179"/>
      <c r="M41" s="82">
        <f>COUNTIF(M8:M38,"k")</f>
        <v>0</v>
      </c>
      <c r="N41" s="65"/>
    </row>
    <row r="42" spans="1:14" ht="12" customHeight="1">
      <c r="A42" s="167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0</v>
      </c>
      <c r="K42" s="217"/>
      <c r="L42" s="65"/>
      <c r="M42" s="65"/>
      <c r="N42" s="65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0.9583333333333334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0.16666666666666669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Arbeitszeitübersicht!I8/24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11"/>
      <c r="F49" s="11"/>
      <c r="G49" s="11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OR($B38=$B$40,$B38=$B$40+1,$B38=$B$40-2)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OR($B38=$B$40,$B38=$B$40+1,$B38=$B$40-2)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OR($B38=$B$40,$B38=$B$40+1,$B38=$B$40-2)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OR($B8=$B$40+39,$B8=$B$40+49,$B8=$B$40+50,$B8=$B$40+60)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OR($B8=$B$40+39,$B8=$B$40+49,$B8=$B$40+50,$B8=$B$40+60)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OR($B8=$B$40+39,$B8=$B$40+49,$B8=$B$40+50,$B8=$B$40+60)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OR($B8=$B$40+39,$B8=$B$40+49,$B8=$B$40+50,$B8=$B$40+60)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Juli "&amp;gewJahr</f>
        <v>Arbeitszeitachweis Juli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0.75" customHeight="1">
      <c r="B4" s="675"/>
      <c r="C4" s="675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5.75" customHeight="1">
      <c r="B6" s="80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2.5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2" customHeight="1">
      <c r="A8" s="216"/>
      <c r="B8" s="202">
        <f>DATE(gewJahr,7,1)</f>
        <v>42186</v>
      </c>
      <c r="C8" s="203">
        <f aca="true" t="shared" si="0" ref="C8:C38">WEEKDAY(B8)</f>
        <v>4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2" customHeight="1">
      <c r="A9" s="216"/>
      <c r="B9" s="202">
        <f aca="true" t="shared" si="2" ref="B9:B38">B8+1</f>
        <v>42187</v>
      </c>
      <c r="C9" s="203">
        <f t="shared" si="0"/>
        <v>5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2" customHeight="1">
      <c r="A10" s="216"/>
      <c r="B10" s="202">
        <f t="shared" si="2"/>
        <v>42188</v>
      </c>
      <c r="C10" s="203">
        <f t="shared" si="0"/>
        <v>6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2" customHeight="1">
      <c r="A11" s="216"/>
      <c r="B11" s="202">
        <f t="shared" si="2"/>
        <v>42189</v>
      </c>
      <c r="C11" s="203">
        <f t="shared" si="0"/>
        <v>7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2" customHeight="1">
      <c r="A12" s="216"/>
      <c r="B12" s="202">
        <f t="shared" si="2"/>
        <v>42190</v>
      </c>
      <c r="C12" s="203">
        <f t="shared" si="0"/>
        <v>1</v>
      </c>
      <c r="D12" s="204">
        <v>0.5833333333333334</v>
      </c>
      <c r="E12" s="204">
        <v>0</v>
      </c>
      <c r="F12" s="280">
        <f t="shared" si="1"/>
        <v>0.38541666666666663</v>
      </c>
      <c r="G12" s="204">
        <v>0.03125</v>
      </c>
      <c r="H12" s="281">
        <f t="shared" si="3"/>
        <v>0.30208333333333326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0.08333333333333337</v>
      </c>
      <c r="J12" s="201"/>
      <c r="K12" s="218"/>
      <c r="L12" s="217"/>
      <c r="M12" s="217"/>
      <c r="N12" s="217"/>
      <c r="O12" s="216"/>
    </row>
    <row r="13" spans="1:15" s="219" customFormat="1" ht="12" customHeight="1">
      <c r="A13" s="216"/>
      <c r="B13" s="202">
        <f t="shared" si="2"/>
        <v>42191</v>
      </c>
      <c r="C13" s="203">
        <f t="shared" si="0"/>
        <v>2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2" customHeight="1">
      <c r="A14" s="216"/>
      <c r="B14" s="202">
        <f t="shared" si="2"/>
        <v>42192</v>
      </c>
      <c r="C14" s="203">
        <f t="shared" si="0"/>
        <v>3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2" customHeight="1">
      <c r="A15" s="216"/>
      <c r="B15" s="202">
        <f t="shared" si="2"/>
        <v>42193</v>
      </c>
      <c r="C15" s="203">
        <f t="shared" si="0"/>
        <v>4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2" customHeight="1">
      <c r="A16" s="216"/>
      <c r="B16" s="202">
        <f t="shared" si="2"/>
        <v>42194</v>
      </c>
      <c r="C16" s="203">
        <f t="shared" si="0"/>
        <v>5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2" customHeight="1">
      <c r="A17" s="216"/>
      <c r="B17" s="202">
        <f t="shared" si="2"/>
        <v>42195</v>
      </c>
      <c r="C17" s="203">
        <f t="shared" si="0"/>
        <v>6</v>
      </c>
      <c r="D17" s="204">
        <v>0.7083333333333334</v>
      </c>
      <c r="E17" s="204">
        <v>0.9791666666666666</v>
      </c>
      <c r="F17" s="280">
        <f t="shared" si="1"/>
        <v>0.23958333333333326</v>
      </c>
      <c r="G17" s="204">
        <v>0.03125</v>
      </c>
      <c r="H17" s="281">
        <f t="shared" si="3"/>
        <v>0.17708333333333326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0.0625</v>
      </c>
      <c r="J17" s="201"/>
      <c r="K17" s="217"/>
      <c r="L17" s="217"/>
      <c r="M17" s="217"/>
      <c r="N17" s="217"/>
      <c r="O17" s="216"/>
    </row>
    <row r="18" spans="1:15" s="219" customFormat="1" ht="12" customHeight="1">
      <c r="A18" s="216"/>
      <c r="B18" s="202">
        <f t="shared" si="2"/>
        <v>42196</v>
      </c>
      <c r="C18" s="203">
        <f t="shared" si="0"/>
        <v>7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2" customHeight="1">
      <c r="A19" s="216"/>
      <c r="B19" s="202">
        <f t="shared" si="2"/>
        <v>42197</v>
      </c>
      <c r="C19" s="203">
        <f t="shared" si="0"/>
        <v>1</v>
      </c>
      <c r="D19" s="204">
        <v>0.9583333333333334</v>
      </c>
      <c r="E19" s="204">
        <v>0.25</v>
      </c>
      <c r="F19" s="280">
        <f t="shared" si="1"/>
        <v>0.26041666666666663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0.29166666666666663</v>
      </c>
      <c r="J19" s="201"/>
      <c r="K19" s="217"/>
      <c r="L19" s="217"/>
      <c r="M19" s="217"/>
      <c r="N19" s="217"/>
      <c r="O19" s="216"/>
    </row>
    <row r="20" spans="1:15" s="219" customFormat="1" ht="12" customHeight="1">
      <c r="A20" s="216"/>
      <c r="B20" s="202">
        <f t="shared" si="2"/>
        <v>42198</v>
      </c>
      <c r="C20" s="203">
        <f t="shared" si="0"/>
        <v>2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2" customHeight="1">
      <c r="A21" s="216"/>
      <c r="B21" s="202">
        <f t="shared" si="2"/>
        <v>42199</v>
      </c>
      <c r="C21" s="203">
        <f t="shared" si="0"/>
        <v>3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2" customHeight="1">
      <c r="A22" s="216"/>
      <c r="B22" s="202">
        <f t="shared" si="2"/>
        <v>42200</v>
      </c>
      <c r="C22" s="203">
        <f t="shared" si="0"/>
        <v>4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2" customHeight="1">
      <c r="A23" s="216"/>
      <c r="B23" s="202">
        <f t="shared" si="2"/>
        <v>42201</v>
      </c>
      <c r="C23" s="203">
        <f t="shared" si="0"/>
        <v>5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2" customHeight="1">
      <c r="A24" s="216"/>
      <c r="B24" s="202">
        <f t="shared" si="2"/>
        <v>42202</v>
      </c>
      <c r="C24" s="203">
        <f t="shared" si="0"/>
        <v>6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2" customHeight="1">
      <c r="A25" s="216"/>
      <c r="B25" s="202">
        <f t="shared" si="2"/>
        <v>42203</v>
      </c>
      <c r="C25" s="203">
        <f t="shared" si="0"/>
        <v>7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2" customHeight="1">
      <c r="A26" s="216"/>
      <c r="B26" s="202">
        <f t="shared" si="2"/>
        <v>42204</v>
      </c>
      <c r="C26" s="203">
        <f t="shared" si="0"/>
        <v>1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2" customHeight="1">
      <c r="A27" s="216"/>
      <c r="B27" s="202">
        <f t="shared" si="2"/>
        <v>42205</v>
      </c>
      <c r="C27" s="203">
        <f t="shared" si="0"/>
        <v>2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2" customHeight="1">
      <c r="A28" s="216"/>
      <c r="B28" s="202">
        <f t="shared" si="2"/>
        <v>42206</v>
      </c>
      <c r="C28" s="203">
        <f t="shared" si="0"/>
        <v>3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2" customHeight="1">
      <c r="A29" s="216"/>
      <c r="B29" s="202">
        <f t="shared" si="2"/>
        <v>42207</v>
      </c>
      <c r="C29" s="203">
        <f t="shared" si="0"/>
        <v>4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2" customHeight="1">
      <c r="A30" s="216"/>
      <c r="B30" s="202">
        <f t="shared" si="2"/>
        <v>42208</v>
      </c>
      <c r="C30" s="203">
        <f t="shared" si="0"/>
        <v>5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2" customHeight="1">
      <c r="A31" s="216"/>
      <c r="B31" s="202">
        <f t="shared" si="2"/>
        <v>42209</v>
      </c>
      <c r="C31" s="203">
        <f t="shared" si="0"/>
        <v>6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2" customHeight="1">
      <c r="A32" s="216"/>
      <c r="B32" s="202">
        <f t="shared" si="2"/>
        <v>42210</v>
      </c>
      <c r="C32" s="203">
        <f t="shared" si="0"/>
        <v>7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2" customHeight="1">
      <c r="A33" s="216"/>
      <c r="B33" s="202">
        <f t="shared" si="2"/>
        <v>42211</v>
      </c>
      <c r="C33" s="203">
        <f t="shared" si="0"/>
        <v>1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2" customHeight="1">
      <c r="A34" s="216"/>
      <c r="B34" s="202">
        <f t="shared" si="2"/>
        <v>42212</v>
      </c>
      <c r="C34" s="203">
        <f t="shared" si="0"/>
        <v>2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2" customHeight="1">
      <c r="A35" s="216"/>
      <c r="B35" s="202">
        <f t="shared" si="2"/>
        <v>42213</v>
      </c>
      <c r="C35" s="203">
        <f t="shared" si="0"/>
        <v>3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2" customHeight="1">
      <c r="A36" s="216"/>
      <c r="B36" s="202">
        <f t="shared" si="2"/>
        <v>42214</v>
      </c>
      <c r="C36" s="203">
        <f t="shared" si="0"/>
        <v>4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2" customHeight="1">
      <c r="A37" s="216"/>
      <c r="B37" s="202">
        <f t="shared" si="2"/>
        <v>42215</v>
      </c>
      <c r="C37" s="203">
        <f t="shared" si="0"/>
        <v>5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>
        <f t="shared" si="2"/>
        <v>42216</v>
      </c>
      <c r="C38" s="203">
        <f t="shared" si="0"/>
        <v>6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6" t="s">
        <v>88</v>
      </c>
      <c r="E39" s="657"/>
      <c r="F39" s="282">
        <f>SUM(F8:F38)</f>
        <v>0.8854166666666665</v>
      </c>
      <c r="G39" s="209"/>
      <c r="H39" s="282">
        <f>SUM(H8:H38)</f>
        <v>0.4791666666666665</v>
      </c>
      <c r="I39" s="286">
        <f>SUM(I8:I38)</f>
        <v>0.4375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253"/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2" customHeight="1">
      <c r="A41" s="220"/>
      <c r="B41" s="253"/>
      <c r="C41" s="208"/>
      <c r="D41" s="660" t="s">
        <v>122</v>
      </c>
      <c r="E41" s="661"/>
      <c r="F41" s="296">
        <v>0</v>
      </c>
      <c r="G41" s="662" t="s">
        <v>115</v>
      </c>
      <c r="H41" s="645"/>
      <c r="I41" s="645"/>
      <c r="J41" s="213">
        <f>Juni!J41-J40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2" customHeight="1">
      <c r="A42" s="220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0.08333333333333333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0.4375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Arbeitszeitübersicht!D20/24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5"/>
      <c r="F49" s="665"/>
      <c r="G49" s="665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7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E49:G49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59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August "&amp;gewJahr</f>
        <v>Arbeitszeitachweis August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2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11.25" customHeight="1" hidden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1.25" customHeight="1" hidden="1">
      <c r="B5" s="4"/>
      <c r="C5" s="66">
        <f>IF(Stammdaten!M19="x",1,0)</f>
        <v>0</v>
      </c>
      <c r="D5" s="4"/>
      <c r="E5" s="4"/>
      <c r="F5" s="4"/>
      <c r="H5" s="4"/>
      <c r="I5" s="4"/>
      <c r="J5" s="648"/>
      <c r="K5" s="5"/>
      <c r="L5" s="4"/>
    </row>
    <row r="6" spans="2:14" ht="13.5" customHeight="1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4.75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DATE(gewJahr,8,1)</f>
        <v>42217</v>
      </c>
      <c r="C8" s="203">
        <f aca="true" t="shared" si="0" ref="C8:C38">WEEKDAY(B8)</f>
        <v>7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42218</v>
      </c>
      <c r="C9" s="203">
        <f t="shared" si="0"/>
        <v>1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42219</v>
      </c>
      <c r="C10" s="203">
        <f t="shared" si="0"/>
        <v>2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42220</v>
      </c>
      <c r="C11" s="203">
        <f t="shared" si="0"/>
        <v>3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42221</v>
      </c>
      <c r="C12" s="203">
        <f t="shared" si="0"/>
        <v>4</v>
      </c>
      <c r="D12" s="204">
        <v>0.375</v>
      </c>
      <c r="E12" s="204">
        <v>0.75</v>
      </c>
      <c r="F12" s="280">
        <f t="shared" si="1"/>
        <v>0.3333333333333333</v>
      </c>
      <c r="G12" s="204">
        <v>0.041666666666666664</v>
      </c>
      <c r="H12" s="281">
        <f t="shared" si="3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42222</v>
      </c>
      <c r="C13" s="203">
        <f t="shared" si="0"/>
        <v>5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42223</v>
      </c>
      <c r="C14" s="203">
        <f t="shared" si="0"/>
        <v>6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42224</v>
      </c>
      <c r="C15" s="203">
        <f t="shared" si="0"/>
        <v>7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42225</v>
      </c>
      <c r="C16" s="203">
        <f t="shared" si="0"/>
        <v>1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42226</v>
      </c>
      <c r="C17" s="203">
        <f t="shared" si="0"/>
        <v>2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42227</v>
      </c>
      <c r="C18" s="203">
        <f t="shared" si="0"/>
        <v>3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42228</v>
      </c>
      <c r="C19" s="203">
        <f t="shared" si="0"/>
        <v>4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42229</v>
      </c>
      <c r="C20" s="203">
        <f t="shared" si="0"/>
        <v>5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42230</v>
      </c>
      <c r="C21" s="203">
        <f t="shared" si="0"/>
        <v>6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113</v>
      </c>
      <c r="K21" s="217"/>
      <c r="L21" s="217"/>
      <c r="M21" s="217"/>
      <c r="N21" s="217"/>
      <c r="O21" s="216"/>
    </row>
    <row r="22" spans="1:15" s="219" customFormat="1" ht="11.25">
      <c r="A22" s="216"/>
      <c r="B22" s="232">
        <f>B21+1</f>
        <v>42231</v>
      </c>
      <c r="C22" s="233">
        <f>WEEKDAY(B22)</f>
        <v>7</v>
      </c>
      <c r="D22" s="234">
        <v>0</v>
      </c>
      <c r="E22" s="234">
        <v>0</v>
      </c>
      <c r="F22" s="234">
        <f>MAX(IF(D22&lt;=E22,E22-D22,"24:00"-D22+E22)-G22,0)</f>
        <v>0</v>
      </c>
      <c r="G22" s="234">
        <v>0</v>
      </c>
      <c r="H22" s="234"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42232</v>
      </c>
      <c r="C23" s="203">
        <f t="shared" si="0"/>
        <v>1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42233</v>
      </c>
      <c r="C24" s="203">
        <f t="shared" si="0"/>
        <v>2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42234</v>
      </c>
      <c r="C25" s="203">
        <f t="shared" si="0"/>
        <v>3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42235</v>
      </c>
      <c r="C26" s="203">
        <f t="shared" si="0"/>
        <v>4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42236</v>
      </c>
      <c r="C27" s="203">
        <f t="shared" si="0"/>
        <v>5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42237</v>
      </c>
      <c r="C28" s="203">
        <f t="shared" si="0"/>
        <v>6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42238</v>
      </c>
      <c r="C29" s="203">
        <f t="shared" si="0"/>
        <v>7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42239</v>
      </c>
      <c r="C30" s="203">
        <f t="shared" si="0"/>
        <v>1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42240</v>
      </c>
      <c r="C31" s="203">
        <f t="shared" si="0"/>
        <v>2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42241</v>
      </c>
      <c r="C32" s="203">
        <f t="shared" si="0"/>
        <v>3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42242</v>
      </c>
      <c r="C33" s="203">
        <f t="shared" si="0"/>
        <v>4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42243</v>
      </c>
      <c r="C34" s="203">
        <f t="shared" si="0"/>
        <v>5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42244</v>
      </c>
      <c r="C35" s="203">
        <f t="shared" si="0"/>
        <v>6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42245</v>
      </c>
      <c r="C36" s="203">
        <f t="shared" si="0"/>
        <v>7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 t="s">
        <v>114</v>
      </c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42246</v>
      </c>
      <c r="C37" s="203">
        <f t="shared" si="0"/>
        <v>1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 t="s">
        <v>114</v>
      </c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42247</v>
      </c>
      <c r="C38" s="203">
        <f t="shared" si="0"/>
        <v>2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 t="s">
        <v>114</v>
      </c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6" t="s">
        <v>88</v>
      </c>
      <c r="E39" s="657"/>
      <c r="F39" s="282">
        <f>SUM(F8:F38)</f>
        <v>0.3333333333333333</v>
      </c>
      <c r="G39" s="209"/>
      <c r="H39" s="282">
        <f>SUM(H8:H38)</f>
        <v>0.3333333333333333</v>
      </c>
      <c r="I39" s="283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60" t="s">
        <v>122</v>
      </c>
      <c r="E41" s="661"/>
      <c r="F41" s="296">
        <v>0</v>
      </c>
      <c r="G41" s="662" t="s">
        <v>115</v>
      </c>
      <c r="H41" s="645"/>
      <c r="I41" s="645"/>
      <c r="J41" s="213">
        <f>Juli!J41-J40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3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0.20833333333333334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0.16666666666666666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Arbeitszeitübersicht!E20/24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59"/>
  <sheetViews>
    <sheetView defaultGridColor="0" zoomScalePageLayoutView="0" colorId="22" workbookViewId="0" topLeftCell="A1">
      <selection activeCell="D7" sqref="D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September "&amp;gewJahr</f>
        <v>Arbeitszeitachweis September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17.25" customHeight="1" hidden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3.25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DATE(gewJahr,9,1)</f>
        <v>42248</v>
      </c>
      <c r="C8" s="203">
        <f aca="true" t="shared" si="0" ref="C8:C37">WEEKDAY(B8)</f>
        <v>3</v>
      </c>
      <c r="D8" s="204">
        <v>0</v>
      </c>
      <c r="E8" s="204">
        <v>0</v>
      </c>
      <c r="F8" s="280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7">B8+1</f>
        <v>42249</v>
      </c>
      <c r="C9" s="203">
        <f t="shared" si="0"/>
        <v>4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42250</v>
      </c>
      <c r="C10" s="203">
        <f t="shared" si="0"/>
        <v>5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42251</v>
      </c>
      <c r="C11" s="203">
        <f t="shared" si="0"/>
        <v>6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42252</v>
      </c>
      <c r="C12" s="203">
        <f t="shared" si="0"/>
        <v>7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42253</v>
      </c>
      <c r="C13" s="203">
        <f t="shared" si="0"/>
        <v>1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42254</v>
      </c>
      <c r="C14" s="203">
        <f t="shared" si="0"/>
        <v>2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42255</v>
      </c>
      <c r="C15" s="203">
        <f t="shared" si="0"/>
        <v>3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42256</v>
      </c>
      <c r="C16" s="203">
        <f t="shared" si="0"/>
        <v>4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42257</v>
      </c>
      <c r="C17" s="203">
        <f t="shared" si="0"/>
        <v>5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42258</v>
      </c>
      <c r="C18" s="203">
        <f t="shared" si="0"/>
        <v>6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42259</v>
      </c>
      <c r="C19" s="203">
        <f t="shared" si="0"/>
        <v>7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42260</v>
      </c>
      <c r="C20" s="203">
        <f t="shared" si="0"/>
        <v>1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42261</v>
      </c>
      <c r="C21" s="203">
        <f t="shared" si="0"/>
        <v>2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>B21+1</f>
        <v>42262</v>
      </c>
      <c r="C22" s="203">
        <f t="shared" si="0"/>
        <v>3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42263</v>
      </c>
      <c r="C23" s="203">
        <f t="shared" si="0"/>
        <v>4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42264</v>
      </c>
      <c r="C24" s="203">
        <f t="shared" si="0"/>
        <v>5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42265</v>
      </c>
      <c r="C25" s="203">
        <f t="shared" si="0"/>
        <v>6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42266</v>
      </c>
      <c r="C26" s="203">
        <f t="shared" si="0"/>
        <v>7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42267</v>
      </c>
      <c r="C27" s="203">
        <f t="shared" si="0"/>
        <v>1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42268</v>
      </c>
      <c r="C28" s="203">
        <f t="shared" si="0"/>
        <v>2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42269</v>
      </c>
      <c r="C29" s="203">
        <f t="shared" si="0"/>
        <v>3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42270</v>
      </c>
      <c r="C30" s="203">
        <f t="shared" si="0"/>
        <v>4</v>
      </c>
      <c r="D30" s="204">
        <v>0.3333333333333333</v>
      </c>
      <c r="E30" s="204">
        <v>0.6666666666666666</v>
      </c>
      <c r="F30" s="280">
        <f t="shared" si="1"/>
        <v>0.3020833333333333</v>
      </c>
      <c r="G30" s="204">
        <v>0.03125</v>
      </c>
      <c r="H30" s="281">
        <f t="shared" si="3"/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42271</v>
      </c>
      <c r="C31" s="203">
        <f t="shared" si="0"/>
        <v>5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42272</v>
      </c>
      <c r="C32" s="203">
        <f t="shared" si="0"/>
        <v>6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42273</v>
      </c>
      <c r="C33" s="203">
        <f t="shared" si="0"/>
        <v>7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42274</v>
      </c>
      <c r="C34" s="203">
        <f t="shared" si="0"/>
        <v>1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42275</v>
      </c>
      <c r="C35" s="203">
        <f t="shared" si="0"/>
        <v>2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42276</v>
      </c>
      <c r="C36" s="203">
        <f t="shared" si="0"/>
        <v>3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42277</v>
      </c>
      <c r="C37" s="203">
        <f t="shared" si="0"/>
        <v>4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6" t="s">
        <v>88</v>
      </c>
      <c r="E39" s="657"/>
      <c r="F39" s="282">
        <f>SUM(F8:F38)</f>
        <v>0.3020833333333333</v>
      </c>
      <c r="G39" s="209"/>
      <c r="H39" s="282">
        <f>SUM(H8:H38)</f>
        <v>0.3020833333333333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60" t="s">
        <v>122</v>
      </c>
      <c r="E41" s="661"/>
      <c r="F41" s="296">
        <v>0</v>
      </c>
      <c r="G41" s="662" t="s">
        <v>115</v>
      </c>
      <c r="H41" s="645"/>
      <c r="I41" s="645"/>
      <c r="J41" s="213">
        <f>Aug!J41-J40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0.25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0.08333333333333333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Arbeitszeitübersicht!F20/24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59"/>
  <sheetViews>
    <sheetView defaultGridColor="0" zoomScalePageLayoutView="0" colorId="22" workbookViewId="0" topLeftCell="A3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Oktober "&amp;gewJahr</f>
        <v>Arbeitszeitachweis Oktober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4.2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18" customHeight="1" hidden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8" customHeight="1" hidden="1">
      <c r="B5" s="4"/>
      <c r="C5" s="66">
        <f>IF(Stammdaten!M21="x",Stammdaten!J21,0)</f>
        <v>0</v>
      </c>
      <c r="D5" s="4"/>
      <c r="E5" s="4"/>
      <c r="F5" s="4"/>
      <c r="H5" s="4"/>
      <c r="I5" s="4"/>
      <c r="J5" s="648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4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DATE(gewJahr,10,1)</f>
        <v>42278</v>
      </c>
      <c r="C8" s="203">
        <f aca="true" t="shared" si="0" ref="C8:C38">WEEKDAY(B8)</f>
        <v>5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42279</v>
      </c>
      <c r="C9" s="203">
        <f t="shared" si="0"/>
        <v>6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35">
        <f t="shared" si="2"/>
        <v>42280</v>
      </c>
      <c r="C10" s="229">
        <f t="shared" si="0"/>
        <v>7</v>
      </c>
      <c r="D10" s="230">
        <v>0</v>
      </c>
      <c r="E10" s="230">
        <v>0</v>
      </c>
      <c r="F10" s="279">
        <f t="shared" si="1"/>
        <v>0</v>
      </c>
      <c r="G10" s="230">
        <v>0.03125</v>
      </c>
      <c r="H10" s="285">
        <f>F10-I10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42281</v>
      </c>
      <c r="C11" s="203">
        <f t="shared" si="0"/>
        <v>1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aca="true" t="shared" si="3" ref="H11:H38">IF(F11-I11&gt;0,F11-I11,0)</f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42282</v>
      </c>
      <c r="C12" s="203">
        <f t="shared" si="0"/>
        <v>2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42283</v>
      </c>
      <c r="C13" s="203">
        <f t="shared" si="0"/>
        <v>3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42284</v>
      </c>
      <c r="C14" s="203">
        <f t="shared" si="0"/>
        <v>4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42285</v>
      </c>
      <c r="C15" s="203">
        <f t="shared" si="0"/>
        <v>5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42286</v>
      </c>
      <c r="C16" s="203">
        <f t="shared" si="0"/>
        <v>6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42287</v>
      </c>
      <c r="C17" s="203">
        <f t="shared" si="0"/>
        <v>7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42288</v>
      </c>
      <c r="C18" s="203">
        <f t="shared" si="0"/>
        <v>1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42289</v>
      </c>
      <c r="C19" s="203">
        <f t="shared" si="0"/>
        <v>2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42290</v>
      </c>
      <c r="C20" s="203">
        <f t="shared" si="0"/>
        <v>3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42291</v>
      </c>
      <c r="C21" s="203">
        <f t="shared" si="0"/>
        <v>4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42292</v>
      </c>
      <c r="C22" s="203">
        <f t="shared" si="0"/>
        <v>5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42293</v>
      </c>
      <c r="C23" s="203">
        <f t="shared" si="0"/>
        <v>6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42294</v>
      </c>
      <c r="C24" s="203">
        <f t="shared" si="0"/>
        <v>7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42295</v>
      </c>
      <c r="C25" s="203">
        <f t="shared" si="0"/>
        <v>1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42296</v>
      </c>
      <c r="C26" s="203">
        <f t="shared" si="0"/>
        <v>2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42297</v>
      </c>
      <c r="C27" s="203">
        <f t="shared" si="0"/>
        <v>3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42298</v>
      </c>
      <c r="C28" s="203">
        <f t="shared" si="0"/>
        <v>4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42299</v>
      </c>
      <c r="C29" s="203">
        <f t="shared" si="0"/>
        <v>5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42300</v>
      </c>
      <c r="C30" s="203">
        <f t="shared" si="0"/>
        <v>6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42301</v>
      </c>
      <c r="C31" s="203">
        <f t="shared" si="0"/>
        <v>7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42302</v>
      </c>
      <c r="C32" s="203">
        <f t="shared" si="0"/>
        <v>1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42303</v>
      </c>
      <c r="C33" s="203">
        <f t="shared" si="0"/>
        <v>2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42304</v>
      </c>
      <c r="C34" s="203">
        <f t="shared" si="0"/>
        <v>3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42305</v>
      </c>
      <c r="C35" s="203">
        <f t="shared" si="0"/>
        <v>4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42306</v>
      </c>
      <c r="C36" s="203">
        <f t="shared" si="0"/>
        <v>5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42307</v>
      </c>
      <c r="C37" s="203">
        <f t="shared" si="0"/>
        <v>6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42308</v>
      </c>
      <c r="C38" s="203">
        <f t="shared" si="0"/>
        <v>7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6" t="s">
        <v>88</v>
      </c>
      <c r="E39" s="657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60" t="s">
        <v>122</v>
      </c>
      <c r="E41" s="661"/>
      <c r="F41" s="296">
        <v>0</v>
      </c>
      <c r="G41" s="662" t="s">
        <v>115</v>
      </c>
      <c r="H41" s="645"/>
      <c r="I41" s="645"/>
      <c r="J41" s="213">
        <f>Sep!J41-J40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Arbeitszeitübersicht!G20/24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November "&amp;gewJahr</f>
        <v>Arbeitszeitachweis November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0.75" customHeight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5" customHeight="1" hidden="1">
      <c r="B5" s="4"/>
      <c r="C5" s="66">
        <f>IF(Stammdaten!M23="x",Stammdaten!J23,0)</f>
        <v>0</v>
      </c>
      <c r="D5" s="4"/>
      <c r="E5" s="4"/>
      <c r="F5" s="4"/>
      <c r="H5" s="4"/>
      <c r="I5" s="4"/>
      <c r="J5" s="648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4.75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DATE(gewJahr,11,1)</f>
        <v>42309</v>
      </c>
      <c r="C8" s="203">
        <f>WEEKDAY(B8)</f>
        <v>1</v>
      </c>
      <c r="D8" s="236">
        <v>0</v>
      </c>
      <c r="E8" s="236">
        <v>0</v>
      </c>
      <c r="F8" s="280">
        <f aca="true" t="shared" si="0" ref="F8:F37">MAX(IF(D8&lt;=E8,E8-D8,"24:00"-D8+E8)-G8,0)</f>
        <v>0</v>
      </c>
      <c r="G8" s="236">
        <v>0.03125</v>
      </c>
      <c r="H8" s="236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42310</v>
      </c>
      <c r="C9" s="203">
        <f aca="true" t="shared" si="2" ref="C9:C37">WEEKDAY(B9)</f>
        <v>2</v>
      </c>
      <c r="D9" s="204">
        <v>0</v>
      </c>
      <c r="E9" s="204">
        <v>0</v>
      </c>
      <c r="F9" s="280">
        <f t="shared" si="0"/>
        <v>0</v>
      </c>
      <c r="G9" s="204">
        <v>0.03125</v>
      </c>
      <c r="H9" s="236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42311</v>
      </c>
      <c r="C10" s="203">
        <f t="shared" si="2"/>
        <v>3</v>
      </c>
      <c r="D10" s="204">
        <v>0</v>
      </c>
      <c r="E10" s="204">
        <v>0</v>
      </c>
      <c r="F10" s="280">
        <f t="shared" si="0"/>
        <v>0</v>
      </c>
      <c r="G10" s="204">
        <v>0.03125</v>
      </c>
      <c r="H10" s="236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42312</v>
      </c>
      <c r="C11" s="203">
        <f t="shared" si="2"/>
        <v>4</v>
      </c>
      <c r="D11" s="204">
        <v>0</v>
      </c>
      <c r="E11" s="204">
        <v>0</v>
      </c>
      <c r="F11" s="280">
        <f t="shared" si="0"/>
        <v>0</v>
      </c>
      <c r="G11" s="204">
        <v>0.03125</v>
      </c>
      <c r="H11" s="236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42313</v>
      </c>
      <c r="C12" s="203">
        <f t="shared" si="2"/>
        <v>5</v>
      </c>
      <c r="D12" s="204">
        <v>0</v>
      </c>
      <c r="E12" s="204">
        <v>0</v>
      </c>
      <c r="F12" s="280">
        <f t="shared" si="0"/>
        <v>0</v>
      </c>
      <c r="G12" s="204">
        <v>0.03125</v>
      </c>
      <c r="H12" s="236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42314</v>
      </c>
      <c r="C13" s="203">
        <f t="shared" si="2"/>
        <v>6</v>
      </c>
      <c r="D13" s="204">
        <v>0</v>
      </c>
      <c r="E13" s="204">
        <v>0</v>
      </c>
      <c r="F13" s="280">
        <f t="shared" si="0"/>
        <v>0</v>
      </c>
      <c r="G13" s="204">
        <v>0.03125</v>
      </c>
      <c r="H13" s="236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42315</v>
      </c>
      <c r="C14" s="203">
        <f t="shared" si="2"/>
        <v>7</v>
      </c>
      <c r="D14" s="204">
        <v>0</v>
      </c>
      <c r="E14" s="204">
        <v>0</v>
      </c>
      <c r="F14" s="280">
        <f t="shared" si="0"/>
        <v>0</v>
      </c>
      <c r="G14" s="204">
        <v>0.03125</v>
      </c>
      <c r="H14" s="236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42316</v>
      </c>
      <c r="C15" s="203">
        <f t="shared" si="2"/>
        <v>1</v>
      </c>
      <c r="D15" s="204">
        <v>0</v>
      </c>
      <c r="E15" s="204">
        <v>0</v>
      </c>
      <c r="F15" s="280">
        <f t="shared" si="0"/>
        <v>0</v>
      </c>
      <c r="G15" s="204">
        <v>0.03125</v>
      </c>
      <c r="H15" s="236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42317</v>
      </c>
      <c r="C16" s="203">
        <f t="shared" si="2"/>
        <v>2</v>
      </c>
      <c r="D16" s="204">
        <v>0</v>
      </c>
      <c r="E16" s="204">
        <v>0</v>
      </c>
      <c r="F16" s="280">
        <f t="shared" si="0"/>
        <v>0</v>
      </c>
      <c r="G16" s="204">
        <v>0.03125</v>
      </c>
      <c r="H16" s="236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42318</v>
      </c>
      <c r="C17" s="203">
        <f t="shared" si="2"/>
        <v>3</v>
      </c>
      <c r="D17" s="204">
        <v>0</v>
      </c>
      <c r="E17" s="204">
        <v>0</v>
      </c>
      <c r="F17" s="280">
        <f t="shared" si="0"/>
        <v>0</v>
      </c>
      <c r="G17" s="204">
        <v>0.03125</v>
      </c>
      <c r="H17" s="236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42319</v>
      </c>
      <c r="C18" s="203">
        <f t="shared" si="2"/>
        <v>4</v>
      </c>
      <c r="D18" s="204">
        <v>0</v>
      </c>
      <c r="E18" s="204">
        <v>0</v>
      </c>
      <c r="F18" s="280">
        <f t="shared" si="0"/>
        <v>0</v>
      </c>
      <c r="G18" s="204">
        <v>0.03125</v>
      </c>
      <c r="H18" s="236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42320</v>
      </c>
      <c r="C19" s="203">
        <f t="shared" si="2"/>
        <v>5</v>
      </c>
      <c r="D19" s="204">
        <v>0</v>
      </c>
      <c r="E19" s="204">
        <v>0</v>
      </c>
      <c r="F19" s="280">
        <f t="shared" si="0"/>
        <v>0</v>
      </c>
      <c r="G19" s="204">
        <v>0.03125</v>
      </c>
      <c r="H19" s="236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42321</v>
      </c>
      <c r="C20" s="203">
        <f t="shared" si="2"/>
        <v>6</v>
      </c>
      <c r="D20" s="204">
        <v>0</v>
      </c>
      <c r="E20" s="204">
        <v>0</v>
      </c>
      <c r="F20" s="280">
        <f t="shared" si="0"/>
        <v>0</v>
      </c>
      <c r="G20" s="204">
        <v>0.03125</v>
      </c>
      <c r="H20" s="236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42322</v>
      </c>
      <c r="C21" s="203">
        <f t="shared" si="2"/>
        <v>7</v>
      </c>
      <c r="D21" s="204">
        <v>0</v>
      </c>
      <c r="E21" s="204">
        <v>0</v>
      </c>
      <c r="F21" s="280">
        <f t="shared" si="0"/>
        <v>0</v>
      </c>
      <c r="G21" s="204">
        <v>0.03125</v>
      </c>
      <c r="H21" s="236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42323</v>
      </c>
      <c r="C22" s="203">
        <f t="shared" si="2"/>
        <v>1</v>
      </c>
      <c r="D22" s="204">
        <v>0</v>
      </c>
      <c r="E22" s="204">
        <v>0</v>
      </c>
      <c r="F22" s="280">
        <f t="shared" si="0"/>
        <v>0</v>
      </c>
      <c r="G22" s="204">
        <v>0.03125</v>
      </c>
      <c r="H22" s="236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42324</v>
      </c>
      <c r="C23" s="203">
        <f t="shared" si="2"/>
        <v>2</v>
      </c>
      <c r="D23" s="204">
        <v>0</v>
      </c>
      <c r="E23" s="204">
        <v>0</v>
      </c>
      <c r="F23" s="280">
        <f t="shared" si="0"/>
        <v>0</v>
      </c>
      <c r="G23" s="204">
        <v>0.03125</v>
      </c>
      <c r="H23" s="236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42325</v>
      </c>
      <c r="C24" s="203">
        <f t="shared" si="2"/>
        <v>3</v>
      </c>
      <c r="D24" s="204">
        <v>0</v>
      </c>
      <c r="E24" s="204">
        <v>0</v>
      </c>
      <c r="F24" s="280">
        <f t="shared" si="0"/>
        <v>0</v>
      </c>
      <c r="G24" s="204">
        <v>0.03125</v>
      </c>
      <c r="H24" s="236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42326</v>
      </c>
      <c r="C25" s="203">
        <f t="shared" si="2"/>
        <v>4</v>
      </c>
      <c r="D25" s="204">
        <v>0</v>
      </c>
      <c r="E25" s="204">
        <v>0</v>
      </c>
      <c r="F25" s="280">
        <f t="shared" si="0"/>
        <v>0</v>
      </c>
      <c r="G25" s="204">
        <v>0.03125</v>
      </c>
      <c r="H25" s="236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42327</v>
      </c>
      <c r="C26" s="203">
        <f t="shared" si="2"/>
        <v>5</v>
      </c>
      <c r="D26" s="204">
        <v>0</v>
      </c>
      <c r="E26" s="204">
        <v>0</v>
      </c>
      <c r="F26" s="280">
        <f t="shared" si="0"/>
        <v>0</v>
      </c>
      <c r="G26" s="204">
        <v>0.03125</v>
      </c>
      <c r="H26" s="236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42328</v>
      </c>
      <c r="C27" s="203">
        <f t="shared" si="2"/>
        <v>6</v>
      </c>
      <c r="D27" s="204">
        <v>0</v>
      </c>
      <c r="E27" s="204">
        <v>0</v>
      </c>
      <c r="F27" s="280">
        <f t="shared" si="0"/>
        <v>0</v>
      </c>
      <c r="G27" s="204">
        <v>0.03125</v>
      </c>
      <c r="H27" s="236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42329</v>
      </c>
      <c r="C28" s="203">
        <f t="shared" si="2"/>
        <v>7</v>
      </c>
      <c r="D28" s="204">
        <v>0</v>
      </c>
      <c r="E28" s="204">
        <v>0</v>
      </c>
      <c r="F28" s="280">
        <f t="shared" si="0"/>
        <v>0</v>
      </c>
      <c r="G28" s="204">
        <v>0.03125</v>
      </c>
      <c r="H28" s="236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42330</v>
      </c>
      <c r="C29" s="203">
        <f t="shared" si="2"/>
        <v>1</v>
      </c>
      <c r="D29" s="204">
        <v>0</v>
      </c>
      <c r="E29" s="204">
        <v>0</v>
      </c>
      <c r="F29" s="280">
        <f t="shared" si="0"/>
        <v>0</v>
      </c>
      <c r="G29" s="204">
        <v>0.03125</v>
      </c>
      <c r="H29" s="236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42331</v>
      </c>
      <c r="C30" s="203">
        <f t="shared" si="2"/>
        <v>2</v>
      </c>
      <c r="D30" s="204">
        <v>0</v>
      </c>
      <c r="E30" s="204">
        <v>0</v>
      </c>
      <c r="F30" s="280">
        <f t="shared" si="0"/>
        <v>0</v>
      </c>
      <c r="G30" s="204">
        <v>0.03125</v>
      </c>
      <c r="H30" s="236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42332</v>
      </c>
      <c r="C31" s="203">
        <f t="shared" si="2"/>
        <v>3</v>
      </c>
      <c r="D31" s="204">
        <v>0</v>
      </c>
      <c r="E31" s="204">
        <v>0</v>
      </c>
      <c r="F31" s="280">
        <f t="shared" si="0"/>
        <v>0</v>
      </c>
      <c r="G31" s="204">
        <v>0.03125</v>
      </c>
      <c r="H31" s="236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42333</v>
      </c>
      <c r="C32" s="203">
        <f t="shared" si="2"/>
        <v>4</v>
      </c>
      <c r="D32" s="204">
        <v>0</v>
      </c>
      <c r="E32" s="204">
        <v>0</v>
      </c>
      <c r="F32" s="280">
        <f t="shared" si="0"/>
        <v>0</v>
      </c>
      <c r="G32" s="204">
        <v>0.03125</v>
      </c>
      <c r="H32" s="236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42334</v>
      </c>
      <c r="C33" s="203">
        <f t="shared" si="2"/>
        <v>5</v>
      </c>
      <c r="D33" s="204">
        <v>0</v>
      </c>
      <c r="E33" s="204">
        <v>0</v>
      </c>
      <c r="F33" s="280">
        <f t="shared" si="0"/>
        <v>0</v>
      </c>
      <c r="G33" s="204">
        <v>0.03125</v>
      </c>
      <c r="H33" s="236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42335</v>
      </c>
      <c r="C34" s="203">
        <f t="shared" si="2"/>
        <v>6</v>
      </c>
      <c r="D34" s="204">
        <v>0</v>
      </c>
      <c r="E34" s="204">
        <v>0</v>
      </c>
      <c r="F34" s="280">
        <f t="shared" si="0"/>
        <v>0</v>
      </c>
      <c r="G34" s="204">
        <v>0.03125</v>
      </c>
      <c r="H34" s="236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42336</v>
      </c>
      <c r="C35" s="203">
        <f t="shared" si="2"/>
        <v>7</v>
      </c>
      <c r="D35" s="204">
        <v>0</v>
      </c>
      <c r="E35" s="204">
        <v>0</v>
      </c>
      <c r="F35" s="280">
        <f t="shared" si="0"/>
        <v>0</v>
      </c>
      <c r="G35" s="204">
        <v>0.03125</v>
      </c>
      <c r="H35" s="236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42337</v>
      </c>
      <c r="C36" s="203">
        <f t="shared" si="2"/>
        <v>1</v>
      </c>
      <c r="D36" s="204">
        <v>0</v>
      </c>
      <c r="E36" s="204">
        <v>0</v>
      </c>
      <c r="F36" s="280">
        <f t="shared" si="0"/>
        <v>0</v>
      </c>
      <c r="G36" s="204">
        <v>0.03125</v>
      </c>
      <c r="H36" s="236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42338</v>
      </c>
      <c r="C37" s="203">
        <f t="shared" si="2"/>
        <v>2</v>
      </c>
      <c r="D37" s="204">
        <v>0</v>
      </c>
      <c r="E37" s="204">
        <v>0</v>
      </c>
      <c r="F37" s="280">
        <f t="shared" si="0"/>
        <v>0</v>
      </c>
      <c r="G37" s="204">
        <v>0.03125</v>
      </c>
      <c r="H37" s="236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6" t="s">
        <v>88</v>
      </c>
      <c r="E39" s="657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6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8" t="s">
        <v>118</v>
      </c>
      <c r="E40" s="659"/>
      <c r="F40" s="210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60" t="s">
        <v>122</v>
      </c>
      <c r="E41" s="661"/>
      <c r="F41" s="212">
        <v>0</v>
      </c>
      <c r="G41" s="662" t="s">
        <v>115</v>
      </c>
      <c r="H41" s="645"/>
      <c r="I41" s="645"/>
      <c r="J41" s="213">
        <f>Okt!J41-J40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14">
        <v>0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59"/>
  <sheetViews>
    <sheetView defaultGridColor="0" zoomScalePageLayoutView="0" colorId="22" workbookViewId="0" topLeftCell="A10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Dezember "&amp;gewJahr</f>
        <v>Arbeitszeitachweis Dezember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0.75" customHeight="1">
      <c r="B4" s="675"/>
      <c r="C4" s="675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7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DATE(gewJahr,12,1)</f>
        <v>42339</v>
      </c>
      <c r="C8" s="203">
        <f aca="true" t="shared" si="0" ref="C8:C38">WEEKDAY(B8)</f>
        <v>3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 aca="true" t="shared" si="2" ref="H8:H38">F8-I8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3" ref="B9:B38">B8+1</f>
        <v>42340</v>
      </c>
      <c r="C9" s="203">
        <f t="shared" si="0"/>
        <v>4</v>
      </c>
      <c r="D9" s="204">
        <v>0.3333333333333333</v>
      </c>
      <c r="E9" s="204">
        <v>0.6979166666666666</v>
      </c>
      <c r="F9" s="280">
        <f t="shared" si="1"/>
        <v>0.3333333333333333</v>
      </c>
      <c r="G9" s="204">
        <v>0.03125</v>
      </c>
      <c r="H9" s="281">
        <f t="shared" si="2"/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3"/>
        <v>42341</v>
      </c>
      <c r="C10" s="203">
        <f t="shared" si="0"/>
        <v>5</v>
      </c>
      <c r="D10" s="204">
        <v>0.3333333333333333</v>
      </c>
      <c r="E10" s="204">
        <v>0.6979166666666666</v>
      </c>
      <c r="F10" s="280">
        <f t="shared" si="1"/>
        <v>0.3333333333333333</v>
      </c>
      <c r="G10" s="204">
        <v>0.03125</v>
      </c>
      <c r="H10" s="281">
        <f t="shared" si="2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3"/>
        <v>42342</v>
      </c>
      <c r="C11" s="203">
        <f t="shared" si="0"/>
        <v>6</v>
      </c>
      <c r="D11" s="204">
        <v>0.3333333333333333</v>
      </c>
      <c r="E11" s="204">
        <v>0.6979166666666666</v>
      </c>
      <c r="F11" s="280">
        <f t="shared" si="1"/>
        <v>0.3333333333333333</v>
      </c>
      <c r="G11" s="204">
        <v>0.03125</v>
      </c>
      <c r="H11" s="281">
        <f t="shared" si="2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3"/>
        <v>42343</v>
      </c>
      <c r="C12" s="203">
        <f t="shared" si="0"/>
        <v>7</v>
      </c>
      <c r="D12" s="204">
        <v>0.3333333333333333</v>
      </c>
      <c r="E12" s="204">
        <v>0.6979166666666666</v>
      </c>
      <c r="F12" s="280">
        <f t="shared" si="1"/>
        <v>0.3333333333333333</v>
      </c>
      <c r="G12" s="204">
        <v>0.03125</v>
      </c>
      <c r="H12" s="281">
        <f t="shared" si="2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3"/>
        <v>42344</v>
      </c>
      <c r="C13" s="203">
        <f t="shared" si="0"/>
        <v>1</v>
      </c>
      <c r="D13" s="204">
        <v>0.3333333333333333</v>
      </c>
      <c r="E13" s="204">
        <v>0.5729166666666666</v>
      </c>
      <c r="F13" s="280">
        <f t="shared" si="1"/>
        <v>0.20833333333333331</v>
      </c>
      <c r="G13" s="204">
        <v>0.03125</v>
      </c>
      <c r="H13" s="281">
        <f t="shared" si="2"/>
        <v>0.20833333333333331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3"/>
        <v>42345</v>
      </c>
      <c r="C14" s="203">
        <f t="shared" si="0"/>
        <v>2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2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3"/>
        <v>42346</v>
      </c>
      <c r="C15" s="203">
        <f t="shared" si="0"/>
        <v>3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2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3"/>
        <v>42347</v>
      </c>
      <c r="C16" s="203">
        <f t="shared" si="0"/>
        <v>4</v>
      </c>
      <c r="D16" s="204">
        <v>0.3333333333333333</v>
      </c>
      <c r="E16" s="204">
        <v>0.6979166666666666</v>
      </c>
      <c r="F16" s="280">
        <f t="shared" si="1"/>
        <v>0.3333333333333333</v>
      </c>
      <c r="G16" s="204">
        <v>0.03125</v>
      </c>
      <c r="H16" s="281">
        <f t="shared" si="2"/>
        <v>0.3333333333333333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3"/>
        <v>42348</v>
      </c>
      <c r="C17" s="203">
        <f t="shared" si="0"/>
        <v>5</v>
      </c>
      <c r="D17" s="204">
        <v>0.3333333333333333</v>
      </c>
      <c r="E17" s="204">
        <v>0.6979166666666666</v>
      </c>
      <c r="F17" s="280">
        <f t="shared" si="1"/>
        <v>0.3333333333333333</v>
      </c>
      <c r="G17" s="204">
        <v>0.03125</v>
      </c>
      <c r="H17" s="281">
        <f t="shared" si="2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3"/>
        <v>42349</v>
      </c>
      <c r="C18" s="203">
        <f t="shared" si="0"/>
        <v>6</v>
      </c>
      <c r="D18" s="204">
        <v>0.3333333333333333</v>
      </c>
      <c r="E18" s="204">
        <v>0.6979166666666666</v>
      </c>
      <c r="F18" s="280">
        <f t="shared" si="1"/>
        <v>0.3333333333333333</v>
      </c>
      <c r="G18" s="204">
        <v>0.03125</v>
      </c>
      <c r="H18" s="281">
        <f t="shared" si="2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3"/>
        <v>42350</v>
      </c>
      <c r="C19" s="203">
        <f t="shared" si="0"/>
        <v>7</v>
      </c>
      <c r="D19" s="204">
        <v>0.3333333333333333</v>
      </c>
      <c r="E19" s="204">
        <v>0.6979166666666666</v>
      </c>
      <c r="F19" s="280">
        <f t="shared" si="1"/>
        <v>0.3333333333333333</v>
      </c>
      <c r="G19" s="204">
        <v>0.03125</v>
      </c>
      <c r="H19" s="281">
        <f t="shared" si="2"/>
        <v>0.3333333333333333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3"/>
        <v>42351</v>
      </c>
      <c r="C20" s="203">
        <f t="shared" si="0"/>
        <v>1</v>
      </c>
      <c r="D20" s="204">
        <v>0.3333333333333333</v>
      </c>
      <c r="E20" s="204">
        <v>0.5729166666666666</v>
      </c>
      <c r="F20" s="280">
        <f t="shared" si="1"/>
        <v>0.20833333333333331</v>
      </c>
      <c r="G20" s="204">
        <v>0.03125</v>
      </c>
      <c r="H20" s="281">
        <f t="shared" si="2"/>
        <v>0.20833333333333331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3"/>
        <v>42352</v>
      </c>
      <c r="C21" s="203">
        <f t="shared" si="0"/>
        <v>2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2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3"/>
        <v>42353</v>
      </c>
      <c r="C22" s="203">
        <f t="shared" si="0"/>
        <v>3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2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3"/>
        <v>42354</v>
      </c>
      <c r="C23" s="203">
        <f t="shared" si="0"/>
        <v>4</v>
      </c>
      <c r="D23" s="204">
        <v>0.3333333333333333</v>
      </c>
      <c r="E23" s="204">
        <v>0.8229166666666666</v>
      </c>
      <c r="F23" s="280">
        <f t="shared" si="1"/>
        <v>0.4583333333333333</v>
      </c>
      <c r="G23" s="204">
        <v>0.03125</v>
      </c>
      <c r="H23" s="281">
        <f t="shared" si="2"/>
        <v>0.4583333333333333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3"/>
        <v>42355</v>
      </c>
      <c r="C24" s="203">
        <f t="shared" si="0"/>
        <v>5</v>
      </c>
      <c r="D24" s="204">
        <v>0.3333333333333333</v>
      </c>
      <c r="E24" s="204">
        <v>0.6979166666666666</v>
      </c>
      <c r="F24" s="280">
        <f t="shared" si="1"/>
        <v>0.3333333333333333</v>
      </c>
      <c r="G24" s="204">
        <v>0.03125</v>
      </c>
      <c r="H24" s="281">
        <f t="shared" si="2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3"/>
        <v>42356</v>
      </c>
      <c r="C25" s="203">
        <f t="shared" si="0"/>
        <v>6</v>
      </c>
      <c r="D25" s="204">
        <v>0.3333333333333333</v>
      </c>
      <c r="E25" s="204">
        <v>0.6979166666666666</v>
      </c>
      <c r="F25" s="280">
        <f t="shared" si="1"/>
        <v>0.3333333333333333</v>
      </c>
      <c r="G25" s="204">
        <v>0.03125</v>
      </c>
      <c r="H25" s="281">
        <f t="shared" si="2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3"/>
        <v>42357</v>
      </c>
      <c r="C26" s="203">
        <f t="shared" si="0"/>
        <v>7</v>
      </c>
      <c r="D26" s="204">
        <v>0.3333333333333333</v>
      </c>
      <c r="E26" s="204">
        <v>0.3333333333333333</v>
      </c>
      <c r="F26" s="280">
        <f t="shared" si="1"/>
        <v>0</v>
      </c>
      <c r="G26" s="204">
        <v>0.03125</v>
      </c>
      <c r="H26" s="281">
        <f t="shared" si="2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3"/>
        <v>42358</v>
      </c>
      <c r="C27" s="203">
        <f t="shared" si="0"/>
        <v>1</v>
      </c>
      <c r="D27" s="204">
        <v>0.3333333333333333</v>
      </c>
      <c r="E27" s="204">
        <v>0.3333333333333333</v>
      </c>
      <c r="F27" s="280">
        <f t="shared" si="1"/>
        <v>0</v>
      </c>
      <c r="G27" s="204">
        <v>0.03125</v>
      </c>
      <c r="H27" s="281">
        <f t="shared" si="2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3"/>
        <v>42359</v>
      </c>
      <c r="C28" s="203">
        <f t="shared" si="0"/>
        <v>2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2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3"/>
        <v>42360</v>
      </c>
      <c r="C29" s="203">
        <f t="shared" si="0"/>
        <v>3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2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3"/>
        <v>42361</v>
      </c>
      <c r="C30" s="203">
        <f t="shared" si="0"/>
        <v>4</v>
      </c>
      <c r="D30" s="204">
        <v>0.3333333333333333</v>
      </c>
      <c r="E30" s="204">
        <v>0.6979166666666666</v>
      </c>
      <c r="F30" s="280">
        <f t="shared" si="1"/>
        <v>0.3333333333333333</v>
      </c>
      <c r="G30" s="204">
        <v>0.03125</v>
      </c>
      <c r="H30" s="281">
        <f t="shared" si="2"/>
        <v>0.3333333333333333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3"/>
        <v>42362</v>
      </c>
      <c r="C31" s="203">
        <f t="shared" si="0"/>
        <v>5</v>
      </c>
      <c r="D31" s="204">
        <v>0.3333333333333333</v>
      </c>
      <c r="E31" s="204">
        <v>0.6979166666666666</v>
      </c>
      <c r="F31" s="280">
        <f t="shared" si="1"/>
        <v>0.3333333333333333</v>
      </c>
      <c r="G31" s="204">
        <v>0.03125</v>
      </c>
      <c r="H31" s="281">
        <f t="shared" si="2"/>
        <v>0.3333333333333333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35">
        <f t="shared" si="3"/>
        <v>42363</v>
      </c>
      <c r="C32" s="229">
        <f t="shared" si="0"/>
        <v>6</v>
      </c>
      <c r="D32" s="230">
        <v>0</v>
      </c>
      <c r="E32" s="230">
        <v>0</v>
      </c>
      <c r="F32" s="279">
        <f t="shared" si="1"/>
        <v>0</v>
      </c>
      <c r="G32" s="230">
        <v>0.03125</v>
      </c>
      <c r="H32" s="285">
        <f t="shared" si="2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35">
        <f t="shared" si="3"/>
        <v>42364</v>
      </c>
      <c r="C33" s="229">
        <f t="shared" si="0"/>
        <v>7</v>
      </c>
      <c r="D33" s="230">
        <v>0</v>
      </c>
      <c r="E33" s="230">
        <v>0</v>
      </c>
      <c r="F33" s="279">
        <f t="shared" si="1"/>
        <v>0</v>
      </c>
      <c r="G33" s="230">
        <v>0.03125</v>
      </c>
      <c r="H33" s="285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3"/>
        <v>42365</v>
      </c>
      <c r="C34" s="203">
        <f t="shared" si="0"/>
        <v>1</v>
      </c>
      <c r="D34" s="204">
        <v>0.3333333333333333</v>
      </c>
      <c r="E34" s="204">
        <v>0.3333333333333333</v>
      </c>
      <c r="F34" s="280">
        <f t="shared" si="1"/>
        <v>0</v>
      </c>
      <c r="G34" s="204">
        <v>0.03125</v>
      </c>
      <c r="H34" s="281">
        <f t="shared" si="2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3"/>
        <v>42366</v>
      </c>
      <c r="C35" s="203">
        <f t="shared" si="0"/>
        <v>2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2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3"/>
        <v>42367</v>
      </c>
      <c r="C36" s="203">
        <f t="shared" si="0"/>
        <v>3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2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3"/>
        <v>42368</v>
      </c>
      <c r="C37" s="203">
        <f t="shared" si="0"/>
        <v>4</v>
      </c>
      <c r="D37" s="204">
        <v>0.3333333333333333</v>
      </c>
      <c r="E37" s="204">
        <v>0.3333333333333333</v>
      </c>
      <c r="F37" s="280">
        <f t="shared" si="1"/>
        <v>0</v>
      </c>
      <c r="G37" s="204">
        <v>0.03125</v>
      </c>
      <c r="H37" s="281">
        <f t="shared" si="2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3"/>
        <v>42369</v>
      </c>
      <c r="C38" s="203">
        <f t="shared" si="0"/>
        <v>5</v>
      </c>
      <c r="D38" s="204">
        <v>0.3333333333333333</v>
      </c>
      <c r="E38" s="204">
        <v>0.3333333333333333</v>
      </c>
      <c r="F38" s="280">
        <f t="shared" si="1"/>
        <v>0</v>
      </c>
      <c r="G38" s="204">
        <v>0.03125</v>
      </c>
      <c r="H38" s="281">
        <f t="shared" si="2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6" t="s">
        <v>88</v>
      </c>
      <c r="E39" s="657"/>
      <c r="F39" s="282">
        <f>SUM(F8:F38)</f>
        <v>4.875</v>
      </c>
      <c r="G39" s="209"/>
      <c r="H39" s="282">
        <f>SUM(H8:H38)</f>
        <v>4.875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192"/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60" t="s">
        <v>122</v>
      </c>
      <c r="E41" s="661"/>
      <c r="F41" s="296">
        <v>0.6666666666666666</v>
      </c>
      <c r="G41" s="662" t="s">
        <v>115</v>
      </c>
      <c r="H41" s="645"/>
      <c r="I41" s="645"/>
      <c r="J41" s="213">
        <f>Nov!J41-J40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0.4166666666666667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3.7291666666666665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1.6145833333333333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Arbeitszeitübersicht!I20/24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1 B34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C34:C38 C8:C31"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1 D34:H38">
    <cfRule type="expression" priority="9" dxfId="1" stopIfTrue="1">
      <formula>WEEKDAY($B8)=7</formula>
    </cfRule>
    <cfRule type="expression" priority="10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2.75">
      <c r="A3" s="338"/>
      <c r="B3" s="345" t="s">
        <v>20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2.75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ht="12.75">
      <c r="A5" s="338"/>
      <c r="B5" s="339" t="s">
        <v>0</v>
      </c>
      <c r="C5" s="340"/>
      <c r="D5" s="340"/>
      <c r="E5" s="340"/>
      <c r="F5" s="340"/>
      <c r="G5" s="338"/>
      <c r="H5" s="340"/>
      <c r="I5" s="340"/>
      <c r="J5" s="340"/>
      <c r="K5" s="340"/>
      <c r="L5" s="340"/>
      <c r="M5" s="340"/>
    </row>
    <row r="6" spans="1:13" ht="12.75">
      <c r="A6" s="338"/>
      <c r="B6" s="341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0"/>
      <c r="M6" s="340"/>
    </row>
    <row r="7" spans="1:13" ht="12.75">
      <c r="A7" s="338"/>
      <c r="B7" s="342" t="s">
        <v>2</v>
      </c>
      <c r="C7" s="342"/>
      <c r="D7" s="342"/>
      <c r="E7" s="342"/>
      <c r="F7" s="342"/>
      <c r="G7" s="342"/>
      <c r="H7" s="342"/>
      <c r="I7" s="342"/>
      <c r="J7" s="342"/>
      <c r="K7" s="342"/>
      <c r="L7" s="340"/>
      <c r="M7" s="340"/>
    </row>
    <row r="8" spans="1:13" ht="12.75">
      <c r="A8" s="338"/>
      <c r="B8" s="342" t="s">
        <v>3</v>
      </c>
      <c r="C8" s="342"/>
      <c r="D8" s="342"/>
      <c r="E8" s="342"/>
      <c r="F8" s="342"/>
      <c r="G8" s="342"/>
      <c r="H8" s="342"/>
      <c r="I8" s="342"/>
      <c r="J8" s="342"/>
      <c r="K8" s="342"/>
      <c r="L8" s="340"/>
      <c r="M8" s="340"/>
    </row>
    <row r="9" spans="1:13" ht="12.75">
      <c r="A9" s="338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0"/>
      <c r="M9" s="340"/>
    </row>
    <row r="10" spans="1:13" ht="12.75">
      <c r="A10" s="338"/>
      <c r="B10" s="597" t="s">
        <v>320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0"/>
      <c r="M10" s="340"/>
    </row>
    <row r="11" spans="1:13" ht="12.75">
      <c r="A11" s="338"/>
      <c r="B11" s="339" t="s">
        <v>321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0"/>
      <c r="M11" s="340"/>
    </row>
    <row r="12" spans="1:13" ht="12.75">
      <c r="A12" s="338"/>
      <c r="B12" s="339" t="s">
        <v>322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0"/>
      <c r="M12" s="340"/>
    </row>
    <row r="13" spans="1:13" ht="12.75">
      <c r="A13" s="338"/>
      <c r="B13" s="339"/>
      <c r="C13" s="342"/>
      <c r="D13" s="342"/>
      <c r="E13" s="342"/>
      <c r="F13" s="342"/>
      <c r="G13" s="342"/>
      <c r="H13" s="342"/>
      <c r="I13" s="342"/>
      <c r="J13" s="342"/>
      <c r="K13" s="342"/>
      <c r="L13" s="340"/>
      <c r="M13" s="340"/>
    </row>
    <row r="14" spans="1:13" ht="12.75">
      <c r="A14" s="338"/>
      <c r="B14" s="339" t="s">
        <v>323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0"/>
      <c r="M14" s="340"/>
    </row>
    <row r="15" spans="1:13" ht="12.75">
      <c r="A15" s="338"/>
      <c r="B15" s="339" t="s">
        <v>324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0"/>
      <c r="M15" s="340"/>
    </row>
    <row r="16" spans="1:13" ht="12.75">
      <c r="A16" s="338"/>
      <c r="B16" s="339" t="s">
        <v>325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0"/>
      <c r="M16" s="340"/>
    </row>
    <row r="17" spans="1:13" ht="12.75">
      <c r="A17" s="338"/>
      <c r="B17" s="339" t="s">
        <v>326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0"/>
      <c r="M17" s="340"/>
    </row>
    <row r="18" spans="1:13" ht="12.75">
      <c r="A18" s="338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0"/>
      <c r="M18" s="340"/>
    </row>
    <row r="19" spans="1:13" ht="12.75">
      <c r="A19" s="338"/>
      <c r="B19" s="343" t="s">
        <v>4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0"/>
      <c r="M19" s="340"/>
    </row>
    <row r="20" spans="1:13" ht="12.75">
      <c r="A20" s="338"/>
      <c r="B20" s="477" t="s">
        <v>312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0"/>
      <c r="M20" s="340"/>
    </row>
    <row r="21" spans="1:13" ht="12.75">
      <c r="A21" s="338"/>
      <c r="B21" s="341" t="s">
        <v>270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0"/>
      <c r="M21" s="340"/>
    </row>
    <row r="22" spans="1:13" ht="12.75">
      <c r="A22" s="338"/>
      <c r="B22" s="343" t="s">
        <v>314</v>
      </c>
      <c r="C22" s="343"/>
      <c r="D22" s="343"/>
      <c r="E22" s="343"/>
      <c r="F22" s="342"/>
      <c r="G22" s="342"/>
      <c r="H22" s="342"/>
      <c r="I22" s="342"/>
      <c r="J22" s="342"/>
      <c r="K22" s="342"/>
      <c r="L22" s="340"/>
      <c r="M22" s="340"/>
    </row>
    <row r="23" spans="1:13" ht="12.75">
      <c r="A23" s="338"/>
      <c r="B23" s="344" t="s">
        <v>16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0"/>
      <c r="M23" s="340"/>
    </row>
    <row r="24" spans="1:13" ht="12.75">
      <c r="A24" s="338"/>
      <c r="B24" s="341" t="s">
        <v>313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0"/>
      <c r="M24" s="340"/>
    </row>
    <row r="25" spans="1:13" ht="12.75">
      <c r="A25" s="338"/>
      <c r="B25" s="341" t="s">
        <v>260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0"/>
      <c r="M25" s="340"/>
    </row>
    <row r="26" spans="1:13" ht="12.75">
      <c r="A26" s="338"/>
      <c r="B26" s="344" t="s">
        <v>17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0"/>
      <c r="M26" s="340"/>
    </row>
    <row r="27" spans="1:13" ht="12.75">
      <c r="A27" s="338"/>
      <c r="B27" s="341" t="s">
        <v>271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0"/>
      <c r="M27" s="340"/>
    </row>
    <row r="28" spans="1:13" ht="12.75">
      <c r="A28" s="338"/>
      <c r="B28" s="342" t="s">
        <v>224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0"/>
      <c r="M28" s="340"/>
    </row>
    <row r="29" spans="1:13" ht="12.75">
      <c r="A29" s="338"/>
      <c r="B29" s="341" t="s">
        <v>303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0"/>
      <c r="M29" s="340"/>
    </row>
    <row r="30" spans="1:13" ht="12.75">
      <c r="A30" s="338"/>
      <c r="B30" s="341" t="s">
        <v>302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0"/>
      <c r="M30" s="340"/>
    </row>
    <row r="31" spans="1:13" ht="12.75">
      <c r="A31" s="338"/>
      <c r="B31" s="344" t="s">
        <v>21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0"/>
      <c r="M31" s="340"/>
    </row>
    <row r="32" spans="1:13" ht="12.75">
      <c r="A32" s="338"/>
      <c r="B32" s="342" t="s">
        <v>225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0"/>
      <c r="M32" s="340"/>
    </row>
    <row r="33" spans="1:13" ht="12.75">
      <c r="A33" s="338"/>
      <c r="B33" s="344" t="s">
        <v>5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0"/>
      <c r="M33" s="340"/>
    </row>
    <row r="34" spans="1:13" ht="12.75">
      <c r="A34" s="338"/>
      <c r="B34" s="342" t="s">
        <v>226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0"/>
      <c r="M34" s="340"/>
    </row>
    <row r="35" spans="1:13" ht="12.75">
      <c r="A35" s="338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0"/>
      <c r="M35" s="340"/>
    </row>
    <row r="36" spans="1:13" ht="12.75">
      <c r="A36" s="338"/>
      <c r="B36" s="343" t="s">
        <v>6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0"/>
      <c r="M36" s="340"/>
    </row>
    <row r="37" spans="1:13" ht="12.75">
      <c r="A37" s="338"/>
      <c r="B37" s="344" t="s">
        <v>7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0"/>
      <c r="M37" s="340"/>
    </row>
    <row r="38" spans="1:13" ht="12.75">
      <c r="A38" s="338"/>
      <c r="B38" s="342" t="s">
        <v>243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0"/>
      <c r="M38" s="340"/>
    </row>
    <row r="39" spans="1:13" ht="12.75">
      <c r="A39" s="338"/>
      <c r="B39" s="343"/>
      <c r="C39" s="342"/>
      <c r="D39" s="342"/>
      <c r="E39" s="342"/>
      <c r="F39" s="342"/>
      <c r="G39" s="342"/>
      <c r="H39" s="342"/>
      <c r="I39" s="342"/>
      <c r="J39" s="342"/>
      <c r="K39" s="342"/>
      <c r="L39" s="340"/>
      <c r="M39" s="340"/>
    </row>
    <row r="40" spans="1:13" ht="12.75">
      <c r="A40" s="338"/>
      <c r="B40" s="343" t="s">
        <v>8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340"/>
    </row>
    <row r="41" spans="1:13" ht="12.75">
      <c r="A41" s="338"/>
      <c r="B41" s="344" t="s">
        <v>18</v>
      </c>
      <c r="C41" s="342"/>
      <c r="D41" s="342"/>
      <c r="E41" s="342"/>
      <c r="F41" s="342"/>
      <c r="G41" s="342"/>
      <c r="H41" s="342"/>
      <c r="I41" s="342"/>
      <c r="J41" s="342"/>
      <c r="K41" s="342"/>
      <c r="L41" s="340"/>
      <c r="M41" s="340"/>
    </row>
    <row r="42" spans="1:13" ht="12.75">
      <c r="A42" s="338"/>
      <c r="B42" s="342" t="s">
        <v>227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40"/>
      <c r="M42" s="340"/>
    </row>
    <row r="43" spans="1:13" ht="12.75">
      <c r="A43" s="338"/>
      <c r="B43" s="342" t="s">
        <v>228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38"/>
      <c r="M43" s="338"/>
    </row>
    <row r="44" spans="1:13" ht="12.75">
      <c r="A44" s="338"/>
      <c r="B44" s="477" t="s">
        <v>272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38"/>
      <c r="M44" s="338"/>
    </row>
    <row r="45" spans="1:13" ht="12.75">
      <c r="A45" s="338"/>
      <c r="B45" s="341" t="s">
        <v>273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38"/>
      <c r="M45" s="338"/>
    </row>
    <row r="46" spans="1:13" ht="12.75">
      <c r="A46" s="338"/>
      <c r="B46" s="341" t="s">
        <v>274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4"/>
      <c r="M46" s="338"/>
    </row>
    <row r="47" spans="1:13" ht="12.75">
      <c r="A47" s="338"/>
      <c r="B47" s="341" t="s">
        <v>275</v>
      </c>
      <c r="C47" s="363"/>
      <c r="D47" s="363"/>
      <c r="E47" s="363"/>
      <c r="F47" s="363"/>
      <c r="G47" s="363"/>
      <c r="H47" s="363"/>
      <c r="I47" s="363"/>
      <c r="J47" s="363"/>
      <c r="K47" s="363"/>
      <c r="L47" s="364"/>
      <c r="M47" s="338"/>
    </row>
    <row r="48" spans="1:13" ht="12.75">
      <c r="A48" s="338"/>
      <c r="B48" s="362" t="s">
        <v>261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4"/>
      <c r="M48" s="338"/>
    </row>
    <row r="49" spans="1:13" ht="12.75">
      <c r="A49" s="338"/>
      <c r="B49" s="363" t="s">
        <v>229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38"/>
      <c r="M49" s="338"/>
    </row>
    <row r="50" spans="1:13" ht="12.75">
      <c r="A50" s="338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38"/>
      <c r="M50" s="338"/>
    </row>
    <row r="51" spans="1:13" ht="12.75">
      <c r="A51" s="338"/>
      <c r="B51" s="343" t="s">
        <v>9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38"/>
      <c r="M51" s="338"/>
    </row>
    <row r="52" spans="1:13" ht="12.75">
      <c r="A52" s="338"/>
      <c r="B52" s="344" t="s">
        <v>10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38"/>
      <c r="M52" s="338"/>
    </row>
    <row r="53" spans="1:13" ht="12.75">
      <c r="A53" s="338"/>
      <c r="B53" s="342" t="s">
        <v>230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38"/>
      <c r="M53" s="338"/>
    </row>
    <row r="54" spans="1:13" ht="12.75">
      <c r="A54" s="338"/>
      <c r="B54" s="341" t="s">
        <v>315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38"/>
      <c r="M54" s="338"/>
    </row>
    <row r="55" spans="1:13" ht="12.75">
      <c r="A55" s="338"/>
      <c r="B55" s="342" t="s">
        <v>231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38"/>
      <c r="M55" s="338"/>
    </row>
    <row r="56" spans="1:13" ht="12.75">
      <c r="A56" s="338"/>
      <c r="B56" s="342" t="s">
        <v>232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38"/>
      <c r="M56" s="338"/>
    </row>
    <row r="57" spans="1:13" ht="12.75">
      <c r="A57" s="338"/>
      <c r="B57" s="342" t="s">
        <v>233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38"/>
      <c r="M57" s="338"/>
    </row>
    <row r="58" spans="1:13" ht="12.75">
      <c r="A58" s="338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38"/>
      <c r="M58" s="338"/>
    </row>
    <row r="59" spans="1:13" ht="12.75">
      <c r="A59" s="338"/>
      <c r="B59" s="343" t="s">
        <v>11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38"/>
      <c r="M59" s="338"/>
    </row>
    <row r="60" spans="1:13" ht="12.75">
      <c r="A60" s="338"/>
      <c r="B60" s="477" t="s">
        <v>276</v>
      </c>
      <c r="C60" s="342"/>
      <c r="D60" s="342"/>
      <c r="E60" s="342"/>
      <c r="F60" s="342"/>
      <c r="G60" s="342"/>
      <c r="H60" s="342"/>
      <c r="I60" s="342"/>
      <c r="J60" s="342"/>
      <c r="K60" s="342"/>
      <c r="L60" s="338"/>
      <c r="M60" s="338"/>
    </row>
    <row r="61" spans="1:13" ht="12.75">
      <c r="A61" s="338"/>
      <c r="B61" s="341" t="s">
        <v>316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38"/>
      <c r="M61" s="338"/>
    </row>
    <row r="62" spans="1:13" ht="12.75">
      <c r="A62" s="338"/>
      <c r="B62" s="341" t="s">
        <v>277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38"/>
      <c r="M62" s="338"/>
    </row>
    <row r="63" spans="1:13" ht="12.75">
      <c r="A63" s="338"/>
      <c r="B63" s="341" t="s">
        <v>278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38"/>
      <c r="M63" s="338"/>
    </row>
    <row r="64" spans="1:13" ht="12.75">
      <c r="A64" s="338"/>
      <c r="B64" s="341" t="s">
        <v>279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38"/>
      <c r="M64" s="338"/>
    </row>
    <row r="65" spans="1:13" ht="12.75">
      <c r="A65" s="338"/>
      <c r="B65" s="341" t="s">
        <v>280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38"/>
      <c r="M65" s="338"/>
    </row>
    <row r="66" spans="1:13" ht="12.75">
      <c r="A66" s="338"/>
      <c r="B66" s="477" t="s">
        <v>317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38"/>
      <c r="M66" s="338"/>
    </row>
    <row r="67" spans="1:13" ht="12.75">
      <c r="A67" s="338"/>
      <c r="B67" s="341" t="s">
        <v>281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38"/>
      <c r="M67" s="338"/>
    </row>
    <row r="68" spans="1:13" ht="12.75">
      <c r="A68" s="338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38"/>
      <c r="M68" s="338"/>
    </row>
    <row r="69" spans="1:13" ht="12.75">
      <c r="A69" s="338"/>
      <c r="B69" s="343" t="s">
        <v>12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38"/>
      <c r="M69" s="338"/>
    </row>
    <row r="70" spans="1:13" ht="12.75">
      <c r="A70" s="338"/>
      <c r="B70" s="344" t="s">
        <v>234</v>
      </c>
      <c r="C70" s="342"/>
      <c r="D70" s="342"/>
      <c r="E70" s="342"/>
      <c r="F70" s="342"/>
      <c r="G70" s="342"/>
      <c r="H70" s="342"/>
      <c r="I70" s="342"/>
      <c r="J70" s="342"/>
      <c r="K70" s="342"/>
      <c r="L70" s="338"/>
      <c r="M70" s="338"/>
    </row>
    <row r="71" spans="1:13" ht="12.75">
      <c r="A71" s="338"/>
      <c r="B71" s="342" t="s">
        <v>235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38"/>
      <c r="M71" s="338"/>
    </row>
    <row r="72" spans="1:13" ht="12.75">
      <c r="A72" s="338"/>
      <c r="B72" s="342" t="s">
        <v>236</v>
      </c>
      <c r="C72" s="342"/>
      <c r="D72" s="342"/>
      <c r="E72" s="342"/>
      <c r="F72" s="342"/>
      <c r="G72" s="342"/>
      <c r="H72" s="342"/>
      <c r="I72" s="342"/>
      <c r="J72" s="342"/>
      <c r="K72" s="342"/>
      <c r="L72" s="338"/>
      <c r="M72" s="338"/>
    </row>
    <row r="73" spans="1:13" ht="12.75">
      <c r="A73" s="338"/>
      <c r="B73" s="342" t="s">
        <v>237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38"/>
      <c r="M73" s="338"/>
    </row>
    <row r="74" spans="1:13" ht="12.75">
      <c r="A74" s="338"/>
      <c r="B74" s="342" t="s">
        <v>238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38"/>
      <c r="M74" s="338"/>
    </row>
    <row r="75" spans="1:13" ht="12.75">
      <c r="A75" s="338"/>
      <c r="B75" s="344" t="s">
        <v>13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38"/>
      <c r="M75" s="338"/>
    </row>
    <row r="76" spans="1:13" ht="12.75">
      <c r="A76" s="338"/>
      <c r="B76" s="341" t="s">
        <v>282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38"/>
      <c r="M76" s="338"/>
    </row>
    <row r="77" spans="1:13" ht="12.75">
      <c r="A77" s="338"/>
      <c r="B77" s="341" t="s">
        <v>283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38"/>
      <c r="M77" s="338"/>
    </row>
    <row r="78" spans="1:13" ht="12.75">
      <c r="A78" s="338"/>
      <c r="B78" s="341" t="s">
        <v>284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38"/>
      <c r="M78" s="338"/>
    </row>
    <row r="79" spans="1:13" ht="12.75">
      <c r="A79" s="338"/>
      <c r="B79" s="344" t="s">
        <v>14</v>
      </c>
      <c r="C79" s="342"/>
      <c r="D79" s="342"/>
      <c r="E79" s="342"/>
      <c r="F79" s="342"/>
      <c r="G79" s="342"/>
      <c r="H79" s="342"/>
      <c r="I79" s="342"/>
      <c r="J79" s="342"/>
      <c r="K79" s="342"/>
      <c r="L79" s="338"/>
      <c r="M79" s="338"/>
    </row>
    <row r="80" spans="1:13" ht="12.75">
      <c r="A80" s="338"/>
      <c r="B80" s="342" t="s">
        <v>239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38"/>
      <c r="M80" s="338"/>
    </row>
    <row r="81" spans="1:13" ht="12.75">
      <c r="A81" s="338"/>
      <c r="B81" s="342" t="s">
        <v>240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38"/>
      <c r="M81" s="338"/>
    </row>
    <row r="82" spans="1:13" ht="7.5" customHeight="1">
      <c r="A82" s="338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38"/>
      <c r="M82" s="338"/>
    </row>
    <row r="83" spans="1:13" ht="12.75">
      <c r="A83" s="338"/>
      <c r="B83" s="477" t="s">
        <v>286</v>
      </c>
      <c r="C83" s="342"/>
      <c r="D83" s="342"/>
      <c r="E83" s="342"/>
      <c r="F83" s="342"/>
      <c r="G83" s="342"/>
      <c r="H83" s="342"/>
      <c r="I83" s="342"/>
      <c r="J83" s="342"/>
      <c r="K83" s="342"/>
      <c r="L83" s="338"/>
      <c r="M83" s="338"/>
    </row>
    <row r="84" spans="1:13" ht="12.75">
      <c r="A84" s="338"/>
      <c r="B84" s="341" t="s">
        <v>285</v>
      </c>
      <c r="C84" s="342"/>
      <c r="D84" s="342"/>
      <c r="E84" s="342"/>
      <c r="F84" s="342"/>
      <c r="G84" s="342"/>
      <c r="H84" s="342"/>
      <c r="I84" s="342"/>
      <c r="J84" s="342"/>
      <c r="K84" s="342"/>
      <c r="L84" s="338"/>
      <c r="M84" s="338"/>
    </row>
    <row r="85" spans="1:13" ht="8.25" customHeight="1">
      <c r="A85" s="338"/>
      <c r="B85" s="341"/>
      <c r="C85" s="342"/>
      <c r="D85" s="342"/>
      <c r="E85" s="342"/>
      <c r="F85" s="342"/>
      <c r="G85" s="342"/>
      <c r="H85" s="342"/>
      <c r="I85" s="342"/>
      <c r="J85" s="342"/>
      <c r="K85" s="342"/>
      <c r="L85" s="338"/>
      <c r="M85" s="338"/>
    </row>
    <row r="86" spans="1:13" ht="12.75">
      <c r="A86" s="338"/>
      <c r="B86" s="344" t="s">
        <v>15</v>
      </c>
      <c r="C86" s="342"/>
      <c r="D86" s="342"/>
      <c r="E86" s="342"/>
      <c r="F86" s="342"/>
      <c r="G86" s="342"/>
      <c r="H86" s="342"/>
      <c r="I86" s="342"/>
      <c r="J86" s="342"/>
      <c r="K86" s="342"/>
      <c r="L86" s="338"/>
      <c r="M86" s="338"/>
    </row>
    <row r="87" spans="1:13" ht="12.75">
      <c r="A87" s="338"/>
      <c r="B87" s="342" t="s">
        <v>241</v>
      </c>
      <c r="C87" s="342"/>
      <c r="D87" s="342"/>
      <c r="E87" s="342"/>
      <c r="F87" s="342"/>
      <c r="G87" s="342"/>
      <c r="H87" s="342"/>
      <c r="I87" s="342"/>
      <c r="J87" s="342"/>
      <c r="K87" s="342"/>
      <c r="L87" s="338"/>
      <c r="M87" s="338"/>
    </row>
    <row r="88" spans="1:13" ht="12.75">
      <c r="A88" s="338"/>
      <c r="B88" s="344" t="s">
        <v>19</v>
      </c>
      <c r="C88" s="342"/>
      <c r="D88" s="342"/>
      <c r="E88" s="342"/>
      <c r="F88" s="342"/>
      <c r="G88" s="342"/>
      <c r="H88" s="342"/>
      <c r="I88" s="342"/>
      <c r="J88" s="342"/>
      <c r="K88" s="342"/>
      <c r="L88" s="338"/>
      <c r="M88" s="338"/>
    </row>
    <row r="89" spans="1:13" ht="12.75">
      <c r="A89" s="338"/>
      <c r="B89" s="342" t="s">
        <v>242</v>
      </c>
      <c r="C89" s="342"/>
      <c r="D89" s="342"/>
      <c r="E89" s="342"/>
      <c r="F89" s="342"/>
      <c r="G89" s="342"/>
      <c r="H89" s="342"/>
      <c r="I89" s="342"/>
      <c r="J89" s="342"/>
      <c r="K89" s="342"/>
      <c r="L89" s="338"/>
      <c r="M89" s="338"/>
    </row>
    <row r="90" spans="1:13" ht="12.75">
      <c r="A90" s="338"/>
      <c r="B90" s="344" t="s">
        <v>245</v>
      </c>
      <c r="C90" s="342"/>
      <c r="D90" s="342"/>
      <c r="E90" s="342"/>
      <c r="F90" s="342"/>
      <c r="G90" s="342"/>
      <c r="H90" s="342"/>
      <c r="I90" s="342"/>
      <c r="J90" s="342"/>
      <c r="K90" s="342"/>
      <c r="L90" s="338"/>
      <c r="M90" s="338"/>
    </row>
    <row r="91" spans="1:13" ht="12.75">
      <c r="A91" s="338"/>
      <c r="B91" s="342" t="s">
        <v>246</v>
      </c>
      <c r="C91" s="342"/>
      <c r="D91" s="342"/>
      <c r="E91" s="342"/>
      <c r="F91" s="342"/>
      <c r="G91" s="342"/>
      <c r="H91" s="342"/>
      <c r="I91" s="342"/>
      <c r="J91" s="342"/>
      <c r="K91" s="342"/>
      <c r="L91" s="338"/>
      <c r="M91" s="338"/>
    </row>
    <row r="92" spans="1:13" ht="12.75">
      <c r="A92" s="338"/>
      <c r="B92" s="477" t="s">
        <v>287</v>
      </c>
      <c r="C92" s="363"/>
      <c r="D92" s="363"/>
      <c r="E92" s="363"/>
      <c r="F92" s="363"/>
      <c r="G92" s="363"/>
      <c r="H92" s="363"/>
      <c r="I92" s="363"/>
      <c r="J92" s="363"/>
      <c r="K92" s="363"/>
      <c r="L92" s="364"/>
      <c r="M92" s="338"/>
    </row>
    <row r="93" spans="1:13" ht="12.75">
      <c r="A93" s="338"/>
      <c r="B93" s="362" t="s">
        <v>222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4"/>
      <c r="M93" s="338"/>
    </row>
    <row r="94" spans="1:13" ht="12.75">
      <c r="A94" s="338"/>
      <c r="B94" s="363" t="s">
        <v>223</v>
      </c>
      <c r="C94" s="342"/>
      <c r="D94" s="342"/>
      <c r="E94" s="342"/>
      <c r="F94" s="342"/>
      <c r="G94" s="342"/>
      <c r="H94" s="342"/>
      <c r="I94" s="342"/>
      <c r="J94" s="342"/>
      <c r="K94" s="342"/>
      <c r="L94" s="338"/>
      <c r="M94" s="338"/>
    </row>
    <row r="95" spans="1:13" ht="12.75">
      <c r="A95" s="338"/>
      <c r="B95" s="342"/>
      <c r="C95" s="342"/>
      <c r="D95" s="342"/>
      <c r="E95" s="342"/>
      <c r="F95" s="676"/>
      <c r="G95" s="676"/>
      <c r="H95" s="603"/>
      <c r="I95" s="603"/>
      <c r="J95" s="603"/>
      <c r="K95" s="603"/>
      <c r="L95" s="603"/>
      <c r="M95" s="338"/>
    </row>
    <row r="96" spans="1:13" ht="12.75">
      <c r="A96" s="338"/>
      <c r="B96" s="342" t="s">
        <v>248</v>
      </c>
      <c r="C96" s="342"/>
      <c r="D96" s="342"/>
      <c r="E96" s="342"/>
      <c r="F96" s="676" t="s">
        <v>247</v>
      </c>
      <c r="G96" s="676"/>
      <c r="H96" s="603"/>
      <c r="I96" s="603"/>
      <c r="J96" s="603"/>
      <c r="K96" s="603"/>
      <c r="L96" s="603"/>
      <c r="M96" s="338"/>
    </row>
    <row r="97" spans="1:13" ht="12.75">
      <c r="A97" s="338"/>
      <c r="B97" s="342"/>
      <c r="C97" s="342"/>
      <c r="D97" s="342"/>
      <c r="E97" s="342"/>
      <c r="F97" s="676"/>
      <c r="G97" s="676"/>
      <c r="H97" s="603"/>
      <c r="I97" s="603"/>
      <c r="J97" s="603"/>
      <c r="K97" s="603"/>
      <c r="L97" s="603"/>
      <c r="M97" s="338"/>
    </row>
    <row r="98" spans="2:11" ht="12.75">
      <c r="B98" s="337"/>
      <c r="C98" s="337"/>
      <c r="D98" s="337"/>
      <c r="E98" s="337"/>
      <c r="F98" s="337"/>
      <c r="G98" s="337"/>
      <c r="H98" s="337"/>
      <c r="I98" s="337"/>
      <c r="J98" s="337"/>
      <c r="K98" s="337"/>
    </row>
    <row r="99" spans="2:11" ht="12.75">
      <c r="B99" s="337"/>
      <c r="C99" s="337"/>
      <c r="D99" s="337"/>
      <c r="E99" s="337"/>
      <c r="F99" s="337"/>
      <c r="G99" s="337"/>
      <c r="H99" s="337"/>
      <c r="I99" s="337"/>
      <c r="J99" s="337"/>
      <c r="K99" s="337"/>
    </row>
    <row r="100" spans="2:11" ht="12.75"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</row>
    <row r="101" spans="2:11" ht="12.75"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</row>
    <row r="102" spans="2:11" ht="12.75"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</row>
    <row r="103" spans="2:11" ht="12.75"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</row>
    <row r="104" spans="2:11" ht="12.75"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</row>
    <row r="105" spans="2:11" ht="12.75"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</row>
    <row r="106" spans="2:11" ht="12.75"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</row>
    <row r="107" spans="2:11" ht="12.75"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</row>
    <row r="108" spans="2:11" ht="12.75"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</row>
    <row r="109" spans="2:11" ht="12.75"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</row>
    <row r="110" spans="2:11" ht="12.75"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</row>
    <row r="111" spans="2:11" ht="12.75"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</row>
    <row r="112" spans="2:11" ht="12.75"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</row>
    <row r="113" spans="2:11" ht="12.75"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</row>
    <row r="114" spans="2:11" ht="12.75"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</row>
    <row r="115" spans="2:11" ht="12.75"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</row>
    <row r="116" spans="2:11" ht="12.75"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</row>
    <row r="117" spans="2:11" ht="12.75"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</row>
    <row r="118" spans="2:11" ht="12.75"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</row>
    <row r="119" spans="2:11" ht="12.75"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</row>
    <row r="120" spans="2:11" ht="12.75"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</row>
    <row r="121" spans="2:11" ht="12.75"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</row>
    <row r="122" spans="2:11" ht="12.75"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</row>
    <row r="123" ht="12.75">
      <c r="B123" s="337"/>
    </row>
  </sheetData>
  <sheetProtection/>
  <mergeCells count="3">
    <mergeCell ref="F95:L95"/>
    <mergeCell ref="F96:L96"/>
    <mergeCell ref="F97:L97"/>
  </mergeCells>
  <hyperlinks>
    <hyperlink ref="F96:G96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A1">
      <selection activeCell="D32" sqref="D32"/>
    </sheetView>
  </sheetViews>
  <sheetFormatPr defaultColWidth="0" defaultRowHeight="12.75"/>
  <cols>
    <col min="1" max="1" width="6.57421875" style="45" customWidth="1"/>
    <col min="2" max="2" width="14.28125" style="45" customWidth="1"/>
    <col min="3" max="3" width="7.00390625" style="45" customWidth="1"/>
    <col min="4" max="4" width="14.00390625" style="45" customWidth="1"/>
    <col min="5" max="5" width="6.8515625" style="45" customWidth="1"/>
    <col min="6" max="6" width="14.8515625" style="45" customWidth="1"/>
    <col min="7" max="7" width="7.28125" style="45" customWidth="1"/>
    <col min="8" max="8" width="14.421875" style="45" customWidth="1"/>
    <col min="9" max="9" width="7.57421875" style="45" customWidth="1"/>
    <col min="10" max="10" width="13.57421875" style="45" customWidth="1"/>
    <col min="11" max="11" width="7.421875" style="45" customWidth="1"/>
    <col min="12" max="12" width="14.28125" style="45" customWidth="1"/>
    <col min="13" max="13" width="6.28125" style="45" customWidth="1"/>
    <col min="14" max="14" width="13.57421875" style="45" customWidth="1"/>
    <col min="15" max="15" width="6.57421875" style="45" customWidth="1"/>
    <col min="16" max="16" width="13.57421875" style="45" customWidth="1"/>
    <col min="17" max="17" width="6.8515625" style="45" customWidth="1"/>
    <col min="18" max="18" width="14.00390625" style="45" customWidth="1"/>
    <col min="19" max="19" width="8.00390625" style="45" customWidth="1"/>
    <col min="20" max="20" width="14.8515625" style="45" customWidth="1"/>
    <col min="21" max="21" width="7.28125" style="45" customWidth="1"/>
    <col min="22" max="22" width="14.7109375" style="45" customWidth="1"/>
    <col min="23" max="23" width="6.7109375" style="45" customWidth="1"/>
    <col min="24" max="24" width="14.7109375" style="45" customWidth="1"/>
    <col min="25" max="25" width="7.140625" style="45" hidden="1" customWidth="1"/>
    <col min="26" max="26" width="14.8515625" style="45" hidden="1" customWidth="1"/>
    <col min="27" max="27" width="8.8515625" style="45" hidden="1" customWidth="1"/>
    <col min="28" max="28" width="15.28125" style="45" hidden="1" customWidth="1"/>
    <col min="29" max="30" width="8.00390625" style="45" hidden="1" customWidth="1"/>
    <col min="31" max="33" width="16.28125" style="45" hidden="1" customWidth="1"/>
    <col min="34" max="34" width="15.7109375" style="45" hidden="1" customWidth="1"/>
    <col min="35" max="16384" width="0" style="0" hidden="1" customWidth="1"/>
  </cols>
  <sheetData>
    <row r="1" spans="1:29" ht="5.25" customHeight="1" thickBot="1">
      <c r="A1" s="46"/>
      <c r="B1" s="44"/>
      <c r="I1" s="173"/>
      <c r="X1" s="46"/>
      <c r="AA1" s="62"/>
      <c r="AB1" s="62"/>
      <c r="AC1" s="62"/>
    </row>
    <row r="2" spans="3:29" ht="18.75" thickBot="1">
      <c r="C2" s="633" t="str">
        <f>"Kalender "&amp;gewJahr</f>
        <v>Kalender 2015</v>
      </c>
      <c r="D2" s="634"/>
      <c r="X2" s="46"/>
      <c r="AA2" s="69"/>
      <c r="AB2" s="69"/>
      <c r="AC2" s="62"/>
    </row>
    <row r="3" spans="24:29" ht="5.25" customHeight="1">
      <c r="X3" s="46"/>
      <c r="AA3" s="69"/>
      <c r="AB3" s="69"/>
      <c r="AC3" s="62"/>
    </row>
    <row r="4" spans="1:62" ht="14.25" customHeight="1">
      <c r="A4" s="635" t="s">
        <v>66</v>
      </c>
      <c r="B4" s="636"/>
      <c r="C4" s="631" t="s">
        <v>67</v>
      </c>
      <c r="D4" s="637"/>
      <c r="E4" s="631" t="s">
        <v>68</v>
      </c>
      <c r="F4" s="632"/>
      <c r="G4" s="631" t="s">
        <v>69</v>
      </c>
      <c r="H4" s="632"/>
      <c r="I4" s="631" t="s">
        <v>70</v>
      </c>
      <c r="J4" s="632"/>
      <c r="K4" s="638" t="s">
        <v>71</v>
      </c>
      <c r="L4" s="639"/>
      <c r="M4" s="631" t="s">
        <v>72</v>
      </c>
      <c r="N4" s="632"/>
      <c r="O4" s="631" t="s">
        <v>73</v>
      </c>
      <c r="P4" s="632"/>
      <c r="Q4" s="631" t="s">
        <v>74</v>
      </c>
      <c r="R4" s="632"/>
      <c r="S4" s="631" t="s">
        <v>75</v>
      </c>
      <c r="T4" s="632"/>
      <c r="U4" s="631" t="s">
        <v>76</v>
      </c>
      <c r="V4" s="632"/>
      <c r="W4" s="631" t="s">
        <v>77</v>
      </c>
      <c r="X4" s="632"/>
      <c r="Y4" s="71"/>
      <c r="Z4" s="64"/>
      <c r="AA4" s="71"/>
      <c r="AB4" s="64"/>
      <c r="AC4" s="70"/>
      <c r="AD4" s="71"/>
      <c r="AE4" s="64"/>
      <c r="AF4" s="70"/>
      <c r="AG4" s="71"/>
      <c r="AH4" s="64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34" ht="13.5" customHeight="1">
      <c r="A5" s="155">
        <f>DATE(gewJahr,1,1)</f>
        <v>42005</v>
      </c>
      <c r="B5" s="156" t="s">
        <v>43</v>
      </c>
      <c r="C5" s="92">
        <f>DATE(gewJahr,2,1)</f>
        <v>42036</v>
      </c>
      <c r="D5" s="93"/>
      <c r="E5" s="92">
        <f>DATE(gewJahr,3,1)</f>
        <v>42064</v>
      </c>
      <c r="F5" s="93"/>
      <c r="G5" s="92">
        <f>DATE(gewJahr,4,1)</f>
        <v>42095</v>
      </c>
      <c r="H5" s="169"/>
      <c r="I5" s="155">
        <f>DATE(gewJahr,5,1)</f>
        <v>42125</v>
      </c>
      <c r="J5" s="172" t="str">
        <f>IF(I5=$E$43,$C$43,"Maifeiertag")</f>
        <v>Maifeiertag</v>
      </c>
      <c r="K5" s="92">
        <f>DATE(gewJahr,6,1)</f>
        <v>42156</v>
      </c>
      <c r="L5" s="97">
        <f aca="true" t="shared" si="0" ref="L5:L31">IF(K5=$E$43,$C$43,IF(K5=$E$44,$C$44,IF(K5=$E$45,$C$45,IF(K5=$E$46,$C$46,""))))</f>
      </c>
      <c r="M5" s="92">
        <f>DATE(gewJahr,7,1)</f>
        <v>42186</v>
      </c>
      <c r="N5" s="93"/>
      <c r="O5" s="92">
        <f>DATE(gewJahr,8,1)</f>
        <v>42217</v>
      </c>
      <c r="P5" s="93"/>
      <c r="Q5" s="92">
        <f>DATE(gewJahr,9,1)</f>
        <v>42248</v>
      </c>
      <c r="R5" s="93"/>
      <c r="S5" s="92">
        <f>DATE(gewJahr,10,1)</f>
        <v>42278</v>
      </c>
      <c r="T5" s="93"/>
      <c r="U5" s="155">
        <f>DATE(gewJahr,11,1)</f>
        <v>42309</v>
      </c>
      <c r="V5" s="160" t="s">
        <v>50</v>
      </c>
      <c r="W5" s="92">
        <f>DATE(gewJahr,12,1)</f>
        <v>42339</v>
      </c>
      <c r="X5" s="96"/>
      <c r="Y5" s="73"/>
      <c r="Z5" s="72"/>
      <c r="AA5" s="73"/>
      <c r="AB5" s="72"/>
      <c r="AC5" s="72"/>
      <c r="AD5" s="73"/>
      <c r="AE5" s="74"/>
      <c r="AF5" s="72"/>
      <c r="AG5" s="73"/>
      <c r="AH5" s="72"/>
    </row>
    <row r="6" spans="1:34" ht="13.5" customHeight="1">
      <c r="A6" s="92">
        <f>A5+1</f>
        <v>42006</v>
      </c>
      <c r="B6" s="93"/>
      <c r="C6" s="92">
        <f>C5+1</f>
        <v>42037</v>
      </c>
      <c r="D6" s="93"/>
      <c r="E6" s="92">
        <f>E5+1</f>
        <v>42065</v>
      </c>
      <c r="F6" s="93"/>
      <c r="G6" s="92">
        <f aca="true" t="shared" si="1" ref="G6:G34">G5+1</f>
        <v>42096</v>
      </c>
      <c r="H6" s="171">
        <f>IF(G6=$E$40,$C$40,IF(G6=$E$41,$C$41,IF(G6=$E$42,$C$42,"")))</f>
      </c>
      <c r="I6" s="92">
        <f aca="true" t="shared" si="2" ref="I6:I35">I5+1</f>
        <v>42126</v>
      </c>
      <c r="J6" s="97">
        <f>IF(I6=$E$43,$C$43,"")</f>
      </c>
      <c r="K6" s="92">
        <f>K5+1</f>
        <v>42157</v>
      </c>
      <c r="L6" s="97">
        <f t="shared" si="0"/>
      </c>
      <c r="M6" s="92">
        <f>M5+1</f>
        <v>42187</v>
      </c>
      <c r="N6" s="93"/>
      <c r="O6" s="92">
        <f aca="true" t="shared" si="3" ref="O6:O35">O5+1</f>
        <v>42218</v>
      </c>
      <c r="P6" s="93"/>
      <c r="Q6" s="92">
        <f>Q5+1</f>
        <v>42249</v>
      </c>
      <c r="R6" s="93"/>
      <c r="S6" s="92">
        <f>S5+1</f>
        <v>42279</v>
      </c>
      <c r="T6" s="93"/>
      <c r="U6" s="92">
        <f>U5+1</f>
        <v>42310</v>
      </c>
      <c r="V6" s="93"/>
      <c r="W6" s="92">
        <f>W5+1</f>
        <v>42340</v>
      </c>
      <c r="X6" s="96"/>
      <c r="Y6" s="73"/>
      <c r="Z6" s="72"/>
      <c r="AA6" s="73"/>
      <c r="AB6" s="72"/>
      <c r="AC6" s="72"/>
      <c r="AD6" s="73"/>
      <c r="AE6" s="72"/>
      <c r="AF6" s="72"/>
      <c r="AG6" s="73"/>
      <c r="AH6" s="72"/>
    </row>
    <row r="7" spans="1:34" ht="13.5" customHeight="1">
      <c r="A7" s="92">
        <f aca="true" t="shared" si="4" ref="A7:A35">A6+1</f>
        <v>42007</v>
      </c>
      <c r="B7" s="93"/>
      <c r="C7" s="92">
        <f aca="true" t="shared" si="5" ref="C7:C32">C6+1</f>
        <v>42038</v>
      </c>
      <c r="D7" s="93"/>
      <c r="E7" s="92">
        <f aca="true" t="shared" si="6" ref="E7:E23">E6+1</f>
        <v>42066</v>
      </c>
      <c r="F7" s="93"/>
      <c r="G7" s="92">
        <f t="shared" si="1"/>
        <v>42097</v>
      </c>
      <c r="H7" s="170" t="str">
        <f aca="true" t="shared" si="7" ref="H7:H29">IF(G7=$E$40,$C$40,IF(G7=$E$41,$C$41,IF(G7=$E$42,$C$42,"")))</f>
        <v>Karfreitag</v>
      </c>
      <c r="I7" s="92">
        <f t="shared" si="2"/>
        <v>42127</v>
      </c>
      <c r="J7" s="97">
        <f>IF(I7=$E$43,$C$43,"")</f>
      </c>
      <c r="K7" s="92">
        <f aca="true" t="shared" si="8" ref="K7:K31">K6+1</f>
        <v>42158</v>
      </c>
      <c r="L7" s="97">
        <f t="shared" si="0"/>
      </c>
      <c r="M7" s="92">
        <f aca="true" t="shared" si="9" ref="M7:M35">M6+1</f>
        <v>42188</v>
      </c>
      <c r="N7" s="93"/>
      <c r="O7" s="92">
        <f t="shared" si="3"/>
        <v>42219</v>
      </c>
      <c r="P7" s="93"/>
      <c r="Q7" s="92">
        <f aca="true" t="shared" si="10" ref="Q7:Q34">Q6+1</f>
        <v>42250</v>
      </c>
      <c r="R7" s="93"/>
      <c r="S7" s="155">
        <f aca="true" t="shared" si="11" ref="S7:S35">S6+1</f>
        <v>42280</v>
      </c>
      <c r="T7" s="157" t="s">
        <v>78</v>
      </c>
      <c r="U7" s="92">
        <f aca="true" t="shared" si="12" ref="U7:U19">U6+1</f>
        <v>42311</v>
      </c>
      <c r="V7" s="93"/>
      <c r="W7" s="92">
        <f aca="true" t="shared" si="13" ref="W7:W28">W6+1</f>
        <v>42341</v>
      </c>
      <c r="X7" s="96"/>
      <c r="Y7" s="73"/>
      <c r="Z7" s="72"/>
      <c r="AA7" s="73"/>
      <c r="AB7" s="72"/>
      <c r="AC7" s="72"/>
      <c r="AD7" s="73"/>
      <c r="AE7" s="72"/>
      <c r="AF7" s="72"/>
      <c r="AG7" s="73"/>
      <c r="AH7" s="72"/>
    </row>
    <row r="8" spans="1:34" ht="13.5" customHeight="1">
      <c r="A8" s="92">
        <f t="shared" si="4"/>
        <v>42008</v>
      </c>
      <c r="B8" s="93"/>
      <c r="C8" s="92">
        <f t="shared" si="5"/>
        <v>42039</v>
      </c>
      <c r="D8" s="93"/>
      <c r="E8" s="92">
        <f t="shared" si="6"/>
        <v>42067</v>
      </c>
      <c r="F8" s="93"/>
      <c r="G8" s="92">
        <f t="shared" si="1"/>
        <v>42098</v>
      </c>
      <c r="H8" s="170">
        <f t="shared" si="7"/>
      </c>
      <c r="I8" s="92">
        <f t="shared" si="2"/>
        <v>42128</v>
      </c>
      <c r="J8" s="97">
        <f>IF(I8=$E$43,$C$43,"")</f>
      </c>
      <c r="K8" s="92">
        <f t="shared" si="8"/>
        <v>42159</v>
      </c>
      <c r="L8" s="97" t="str">
        <f t="shared" si="0"/>
        <v>Fronleichnam</v>
      </c>
      <c r="M8" s="92">
        <f t="shared" si="9"/>
        <v>42189</v>
      </c>
      <c r="N8" s="93"/>
      <c r="O8" s="92">
        <f t="shared" si="3"/>
        <v>42220</v>
      </c>
      <c r="P8" s="93"/>
      <c r="Q8" s="92">
        <f t="shared" si="10"/>
        <v>42251</v>
      </c>
      <c r="R8" s="93"/>
      <c r="S8" s="92">
        <f t="shared" si="11"/>
        <v>42281</v>
      </c>
      <c r="T8" s="93"/>
      <c r="U8" s="92">
        <f t="shared" si="12"/>
        <v>42312</v>
      </c>
      <c r="V8" s="93"/>
      <c r="W8" s="92">
        <f t="shared" si="13"/>
        <v>42342</v>
      </c>
      <c r="X8" s="96"/>
      <c r="Y8" s="73"/>
      <c r="Z8" s="72"/>
      <c r="AA8" s="73"/>
      <c r="AB8" s="72"/>
      <c r="AC8" s="72"/>
      <c r="AD8" s="73"/>
      <c r="AE8" s="72"/>
      <c r="AF8" s="72"/>
      <c r="AG8" s="73"/>
      <c r="AH8" s="72"/>
    </row>
    <row r="9" spans="1:34" ht="13.5" customHeight="1">
      <c r="A9" s="92">
        <f t="shared" si="4"/>
        <v>42009</v>
      </c>
      <c r="B9" s="93"/>
      <c r="C9" s="92">
        <f t="shared" si="5"/>
        <v>42040</v>
      </c>
      <c r="D9" s="93"/>
      <c r="E9" s="92">
        <f t="shared" si="6"/>
        <v>42068</v>
      </c>
      <c r="F9" s="93"/>
      <c r="G9" s="92">
        <f t="shared" si="1"/>
        <v>42099</v>
      </c>
      <c r="H9" s="170" t="str">
        <f t="shared" si="7"/>
        <v>Ostersonntag</v>
      </c>
      <c r="I9" s="92">
        <f t="shared" si="2"/>
        <v>42129</v>
      </c>
      <c r="J9" s="97">
        <f>IF(I9=$E$43,$C$43,"")</f>
      </c>
      <c r="K9" s="92">
        <f t="shared" si="8"/>
        <v>42160</v>
      </c>
      <c r="L9" s="97">
        <f t="shared" si="0"/>
      </c>
      <c r="M9" s="92">
        <f t="shared" si="9"/>
        <v>42190</v>
      </c>
      <c r="N9" s="93"/>
      <c r="O9" s="92">
        <f t="shared" si="3"/>
        <v>42221</v>
      </c>
      <c r="P9" s="93"/>
      <c r="Q9" s="92">
        <f t="shared" si="10"/>
        <v>42252</v>
      </c>
      <c r="R9" s="93"/>
      <c r="S9" s="92">
        <f t="shared" si="11"/>
        <v>42282</v>
      </c>
      <c r="T9" s="93"/>
      <c r="U9" s="92">
        <f t="shared" si="12"/>
        <v>42313</v>
      </c>
      <c r="V9" s="93"/>
      <c r="W9" s="92">
        <f t="shared" si="13"/>
        <v>42343</v>
      </c>
      <c r="X9" s="96"/>
      <c r="Y9" s="73"/>
      <c r="Z9" s="72"/>
      <c r="AA9" s="73"/>
      <c r="AB9" s="72"/>
      <c r="AC9" s="72"/>
      <c r="AD9" s="73"/>
      <c r="AE9" s="72"/>
      <c r="AF9" s="72"/>
      <c r="AG9" s="73"/>
      <c r="AH9" s="72"/>
    </row>
    <row r="10" spans="1:34" ht="13.5" customHeight="1">
      <c r="A10" s="155">
        <f>A9+1</f>
        <v>42010</v>
      </c>
      <c r="B10" s="160" t="s">
        <v>94</v>
      </c>
      <c r="C10" s="92">
        <f t="shared" si="5"/>
        <v>42041</v>
      </c>
      <c r="D10" s="93"/>
      <c r="E10" s="92">
        <f t="shared" si="6"/>
        <v>42069</v>
      </c>
      <c r="F10" s="93"/>
      <c r="G10" s="92">
        <f t="shared" si="1"/>
        <v>42100</v>
      </c>
      <c r="H10" s="170" t="str">
        <f t="shared" si="7"/>
        <v>Ostermontag</v>
      </c>
      <c r="I10" s="92">
        <f t="shared" si="2"/>
        <v>42130</v>
      </c>
      <c r="J10" s="97">
        <f>IF(I10=$E$43,$C$43,"")</f>
      </c>
      <c r="K10" s="92">
        <f t="shared" si="8"/>
        <v>42161</v>
      </c>
      <c r="L10" s="97">
        <f t="shared" si="0"/>
      </c>
      <c r="M10" s="92">
        <f t="shared" si="9"/>
        <v>42191</v>
      </c>
      <c r="N10" s="93"/>
      <c r="O10" s="92">
        <f t="shared" si="3"/>
        <v>42222</v>
      </c>
      <c r="P10" s="93"/>
      <c r="Q10" s="92">
        <f t="shared" si="10"/>
        <v>42253</v>
      </c>
      <c r="R10" s="93"/>
      <c r="S10" s="92">
        <f t="shared" si="11"/>
        <v>42283</v>
      </c>
      <c r="T10" s="93"/>
      <c r="U10" s="92">
        <f t="shared" si="12"/>
        <v>42314</v>
      </c>
      <c r="V10" s="93"/>
      <c r="W10" s="92">
        <f t="shared" si="13"/>
        <v>42344</v>
      </c>
      <c r="X10" s="96"/>
      <c r="Y10" s="73"/>
      <c r="Z10" s="72"/>
      <c r="AA10" s="73"/>
      <c r="AB10" s="72"/>
      <c r="AC10" s="72"/>
      <c r="AD10" s="73"/>
      <c r="AE10" s="72"/>
      <c r="AF10" s="72"/>
      <c r="AG10" s="73"/>
      <c r="AH10" s="72"/>
    </row>
    <row r="11" spans="1:34" ht="13.5" customHeight="1">
      <c r="A11" s="92">
        <f t="shared" si="4"/>
        <v>42011</v>
      </c>
      <c r="B11" s="93"/>
      <c r="C11" s="92">
        <f t="shared" si="5"/>
        <v>42042</v>
      </c>
      <c r="D11" s="93"/>
      <c r="E11" s="92">
        <f t="shared" si="6"/>
        <v>42070</v>
      </c>
      <c r="F11" s="93"/>
      <c r="G11" s="92">
        <f t="shared" si="1"/>
        <v>42101</v>
      </c>
      <c r="H11" s="170">
        <f t="shared" si="7"/>
      </c>
      <c r="I11" s="92">
        <f t="shared" si="2"/>
        <v>42131</v>
      </c>
      <c r="J11" s="97">
        <f>IF(I11=$E$43,$C$43,IF(I11=$E$44,$C$44,IF(I11=$E$45,$C$45,"")))</f>
      </c>
      <c r="K11" s="92">
        <f t="shared" si="8"/>
        <v>42162</v>
      </c>
      <c r="L11" s="97">
        <f t="shared" si="0"/>
      </c>
      <c r="M11" s="92">
        <f t="shared" si="9"/>
        <v>42192</v>
      </c>
      <c r="N11" s="93"/>
      <c r="O11" s="92">
        <f t="shared" si="3"/>
        <v>42223</v>
      </c>
      <c r="P11" s="93"/>
      <c r="Q11" s="92">
        <f t="shared" si="10"/>
        <v>42254</v>
      </c>
      <c r="R11" s="93"/>
      <c r="S11" s="92">
        <f t="shared" si="11"/>
        <v>42284</v>
      </c>
      <c r="T11" s="93"/>
      <c r="U11" s="92">
        <f t="shared" si="12"/>
        <v>42315</v>
      </c>
      <c r="V11" s="93"/>
      <c r="W11" s="92">
        <f t="shared" si="13"/>
        <v>42345</v>
      </c>
      <c r="X11" s="96"/>
      <c r="Y11" s="73"/>
      <c r="Z11" s="72"/>
      <c r="AA11" s="73"/>
      <c r="AB11" s="72"/>
      <c r="AC11" s="72"/>
      <c r="AD11" s="73"/>
      <c r="AE11" s="72"/>
      <c r="AF11" s="72"/>
      <c r="AG11" s="73"/>
      <c r="AH11" s="72"/>
    </row>
    <row r="12" spans="1:34" ht="13.5" customHeight="1">
      <c r="A12" s="92">
        <f t="shared" si="4"/>
        <v>42012</v>
      </c>
      <c r="B12" s="93"/>
      <c r="C12" s="92">
        <f t="shared" si="5"/>
        <v>42043</v>
      </c>
      <c r="D12" s="93"/>
      <c r="E12" s="92">
        <f t="shared" si="6"/>
        <v>42071</v>
      </c>
      <c r="F12" s="93"/>
      <c r="G12" s="92">
        <f t="shared" si="1"/>
        <v>42102</v>
      </c>
      <c r="H12" s="170">
        <f t="shared" si="7"/>
      </c>
      <c r="I12" s="92">
        <f t="shared" si="2"/>
        <v>42132</v>
      </c>
      <c r="J12" s="97">
        <f aca="true" t="shared" si="14" ref="J12:J19">IF(I12=$E$43,$C$43,IF(I12=$E$44,$C$44,IF(I12=$E$45,$C$45,"")))</f>
      </c>
      <c r="K12" s="92">
        <f t="shared" si="8"/>
        <v>42163</v>
      </c>
      <c r="L12" s="97">
        <f t="shared" si="0"/>
      </c>
      <c r="M12" s="92">
        <f t="shared" si="9"/>
        <v>42193</v>
      </c>
      <c r="N12" s="93"/>
      <c r="O12" s="92">
        <f t="shared" si="3"/>
        <v>42224</v>
      </c>
      <c r="P12" s="93"/>
      <c r="Q12" s="92">
        <f t="shared" si="10"/>
        <v>42255</v>
      </c>
      <c r="R12" s="93"/>
      <c r="S12" s="92">
        <f t="shared" si="11"/>
        <v>42285</v>
      </c>
      <c r="T12" s="93"/>
      <c r="U12" s="92">
        <f t="shared" si="12"/>
        <v>42316</v>
      </c>
      <c r="V12" s="93"/>
      <c r="W12" s="92">
        <f t="shared" si="13"/>
        <v>42346</v>
      </c>
      <c r="X12" s="96"/>
      <c r="Y12" s="73"/>
      <c r="Z12" s="72"/>
      <c r="AA12" s="73"/>
      <c r="AB12" s="72"/>
      <c r="AC12" s="72"/>
      <c r="AD12" s="73"/>
      <c r="AE12" s="72"/>
      <c r="AF12" s="72"/>
      <c r="AG12" s="73"/>
      <c r="AH12" s="72"/>
    </row>
    <row r="13" spans="1:34" ht="13.5" customHeight="1">
      <c r="A13" s="92">
        <f t="shared" si="4"/>
        <v>42013</v>
      </c>
      <c r="B13" s="93"/>
      <c r="C13" s="92">
        <f t="shared" si="5"/>
        <v>42044</v>
      </c>
      <c r="D13" s="93"/>
      <c r="E13" s="92">
        <f t="shared" si="6"/>
        <v>42072</v>
      </c>
      <c r="F13" s="93"/>
      <c r="G13" s="92">
        <f t="shared" si="1"/>
        <v>42103</v>
      </c>
      <c r="H13" s="170">
        <f t="shared" si="7"/>
      </c>
      <c r="I13" s="92">
        <f t="shared" si="2"/>
        <v>42133</v>
      </c>
      <c r="J13" s="97">
        <f t="shared" si="14"/>
      </c>
      <c r="K13" s="92">
        <f t="shared" si="8"/>
        <v>42164</v>
      </c>
      <c r="L13" s="97">
        <f t="shared" si="0"/>
      </c>
      <c r="M13" s="92">
        <f t="shared" si="9"/>
        <v>42194</v>
      </c>
      <c r="N13" s="93"/>
      <c r="O13" s="92">
        <f t="shared" si="3"/>
        <v>42225</v>
      </c>
      <c r="P13" s="93"/>
      <c r="Q13" s="92">
        <f t="shared" si="10"/>
        <v>42256</v>
      </c>
      <c r="R13" s="93"/>
      <c r="S13" s="92">
        <f t="shared" si="11"/>
        <v>42286</v>
      </c>
      <c r="T13" s="93"/>
      <c r="U13" s="92">
        <f t="shared" si="12"/>
        <v>42317</v>
      </c>
      <c r="V13" s="93"/>
      <c r="W13" s="92">
        <f t="shared" si="13"/>
        <v>42347</v>
      </c>
      <c r="X13" s="96"/>
      <c r="Y13" s="73"/>
      <c r="Z13" s="72"/>
      <c r="AA13" s="73"/>
      <c r="AB13" s="72"/>
      <c r="AC13" s="72"/>
      <c r="AD13" s="73"/>
      <c r="AE13" s="72"/>
      <c r="AF13" s="72"/>
      <c r="AG13" s="73"/>
      <c r="AH13" s="72"/>
    </row>
    <row r="14" spans="1:34" ht="13.5" customHeight="1">
      <c r="A14" s="92">
        <f t="shared" si="4"/>
        <v>42014</v>
      </c>
      <c r="B14" s="93"/>
      <c r="C14" s="92">
        <f t="shared" si="5"/>
        <v>42045</v>
      </c>
      <c r="D14" s="93"/>
      <c r="E14" s="92">
        <f t="shared" si="6"/>
        <v>42073</v>
      </c>
      <c r="F14" s="93"/>
      <c r="G14" s="92">
        <f t="shared" si="1"/>
        <v>42104</v>
      </c>
      <c r="H14" s="170">
        <f t="shared" si="7"/>
      </c>
      <c r="I14" s="92">
        <f t="shared" si="2"/>
        <v>42134</v>
      </c>
      <c r="J14" s="97">
        <f t="shared" si="14"/>
      </c>
      <c r="K14" s="92">
        <f t="shared" si="8"/>
        <v>42165</v>
      </c>
      <c r="L14" s="97">
        <f t="shared" si="0"/>
      </c>
      <c r="M14" s="92">
        <f t="shared" si="9"/>
        <v>42195</v>
      </c>
      <c r="N14" s="93"/>
      <c r="O14" s="92">
        <f t="shared" si="3"/>
        <v>42226</v>
      </c>
      <c r="P14" s="93"/>
      <c r="Q14" s="92">
        <f t="shared" si="10"/>
        <v>42257</v>
      </c>
      <c r="R14" s="93"/>
      <c r="S14" s="92">
        <f t="shared" si="11"/>
        <v>42287</v>
      </c>
      <c r="T14" s="93"/>
      <c r="U14" s="92">
        <f t="shared" si="12"/>
        <v>42318</v>
      </c>
      <c r="V14" s="93"/>
      <c r="W14" s="92">
        <f t="shared" si="13"/>
        <v>42348</v>
      </c>
      <c r="X14" s="96"/>
      <c r="Y14" s="73"/>
      <c r="Z14" s="72"/>
      <c r="AA14" s="73"/>
      <c r="AB14" s="72"/>
      <c r="AC14" s="72"/>
      <c r="AD14" s="73"/>
      <c r="AE14" s="72"/>
      <c r="AF14" s="72"/>
      <c r="AG14" s="73"/>
      <c r="AH14" s="72"/>
    </row>
    <row r="15" spans="1:34" ht="13.5" customHeight="1">
      <c r="A15" s="92">
        <f t="shared" si="4"/>
        <v>42015</v>
      </c>
      <c r="B15" s="93"/>
      <c r="C15" s="92">
        <f t="shared" si="5"/>
        <v>42046</v>
      </c>
      <c r="D15" s="93"/>
      <c r="E15" s="92">
        <f t="shared" si="6"/>
        <v>42074</v>
      </c>
      <c r="F15" s="93"/>
      <c r="G15" s="92">
        <f t="shared" si="1"/>
        <v>42105</v>
      </c>
      <c r="H15" s="170">
        <f t="shared" si="7"/>
      </c>
      <c r="I15" s="92">
        <f t="shared" si="2"/>
        <v>42135</v>
      </c>
      <c r="J15" s="97">
        <f t="shared" si="14"/>
      </c>
      <c r="K15" s="92">
        <f t="shared" si="8"/>
        <v>42166</v>
      </c>
      <c r="L15" s="97">
        <f t="shared" si="0"/>
      </c>
      <c r="M15" s="92">
        <f t="shared" si="9"/>
        <v>42196</v>
      </c>
      <c r="N15" s="93"/>
      <c r="O15" s="92">
        <f t="shared" si="3"/>
        <v>42227</v>
      </c>
      <c r="P15" s="93"/>
      <c r="Q15" s="92">
        <f t="shared" si="10"/>
        <v>42258</v>
      </c>
      <c r="R15" s="93"/>
      <c r="S15" s="92">
        <f t="shared" si="11"/>
        <v>42288</v>
      </c>
      <c r="T15" s="93"/>
      <c r="U15" s="92">
        <f t="shared" si="12"/>
        <v>42319</v>
      </c>
      <c r="V15" s="93"/>
      <c r="W15" s="92">
        <f t="shared" si="13"/>
        <v>42349</v>
      </c>
      <c r="X15" s="96"/>
      <c r="Y15" s="73"/>
      <c r="Z15" s="72"/>
      <c r="AA15" s="73"/>
      <c r="AB15" s="72"/>
      <c r="AC15" s="72"/>
      <c r="AD15" s="73"/>
      <c r="AE15" s="72"/>
      <c r="AF15" s="72"/>
      <c r="AG15" s="73"/>
      <c r="AH15" s="72"/>
    </row>
    <row r="16" spans="1:34" ht="13.5" customHeight="1">
      <c r="A16" s="92">
        <f t="shared" si="4"/>
        <v>42016</v>
      </c>
      <c r="B16" s="93"/>
      <c r="C16" s="92">
        <f t="shared" si="5"/>
        <v>42047</v>
      </c>
      <c r="D16" s="93"/>
      <c r="E16" s="92">
        <f t="shared" si="6"/>
        <v>42075</v>
      </c>
      <c r="F16" s="93"/>
      <c r="G16" s="92">
        <f t="shared" si="1"/>
        <v>42106</v>
      </c>
      <c r="H16" s="170">
        <f t="shared" si="7"/>
      </c>
      <c r="I16" s="92">
        <f t="shared" si="2"/>
        <v>42136</v>
      </c>
      <c r="J16" s="97">
        <f t="shared" si="14"/>
      </c>
      <c r="K16" s="92">
        <f t="shared" si="8"/>
        <v>42167</v>
      </c>
      <c r="L16" s="97">
        <f t="shared" si="0"/>
      </c>
      <c r="M16" s="92">
        <f t="shared" si="9"/>
        <v>42197</v>
      </c>
      <c r="N16" s="93"/>
      <c r="O16" s="92">
        <f t="shared" si="3"/>
        <v>42228</v>
      </c>
      <c r="P16" s="93"/>
      <c r="Q16" s="92">
        <f t="shared" si="10"/>
        <v>42259</v>
      </c>
      <c r="R16" s="93"/>
      <c r="S16" s="92">
        <f t="shared" si="11"/>
        <v>42289</v>
      </c>
      <c r="T16" s="93"/>
      <c r="U16" s="92">
        <f t="shared" si="12"/>
        <v>42320</v>
      </c>
      <c r="V16" s="93"/>
      <c r="W16" s="92">
        <f t="shared" si="13"/>
        <v>42350</v>
      </c>
      <c r="X16" s="96"/>
      <c r="Y16" s="73"/>
      <c r="Z16" s="72"/>
      <c r="AA16" s="73"/>
      <c r="AB16" s="72"/>
      <c r="AC16" s="72"/>
      <c r="AD16" s="73"/>
      <c r="AE16" s="72"/>
      <c r="AF16" s="72"/>
      <c r="AG16" s="73"/>
      <c r="AH16" s="72"/>
    </row>
    <row r="17" spans="1:34" ht="13.5" customHeight="1">
      <c r="A17" s="92">
        <f t="shared" si="4"/>
        <v>42017</v>
      </c>
      <c r="B17" s="93"/>
      <c r="C17" s="92">
        <f t="shared" si="5"/>
        <v>42048</v>
      </c>
      <c r="D17" s="93"/>
      <c r="E17" s="92">
        <f t="shared" si="6"/>
        <v>42076</v>
      </c>
      <c r="F17" s="93"/>
      <c r="G17" s="92">
        <f t="shared" si="1"/>
        <v>42107</v>
      </c>
      <c r="H17" s="170">
        <f t="shared" si="7"/>
      </c>
      <c r="I17" s="92">
        <f t="shared" si="2"/>
        <v>42137</v>
      </c>
      <c r="J17" s="97">
        <f t="shared" si="14"/>
      </c>
      <c r="K17" s="92">
        <f t="shared" si="8"/>
        <v>42168</v>
      </c>
      <c r="L17" s="97">
        <f t="shared" si="0"/>
      </c>
      <c r="M17" s="92">
        <f t="shared" si="9"/>
        <v>42198</v>
      </c>
      <c r="N17" s="93"/>
      <c r="O17" s="92">
        <f t="shared" si="3"/>
        <v>42229</v>
      </c>
      <c r="P17" s="93"/>
      <c r="Q17" s="92">
        <f t="shared" si="10"/>
        <v>42260</v>
      </c>
      <c r="R17" s="93"/>
      <c r="S17" s="92">
        <f t="shared" si="11"/>
        <v>42290</v>
      </c>
      <c r="T17" s="93"/>
      <c r="U17" s="92">
        <f t="shared" si="12"/>
        <v>42321</v>
      </c>
      <c r="V17" s="160"/>
      <c r="W17" s="92">
        <f t="shared" si="13"/>
        <v>42351</v>
      </c>
      <c r="X17" s="96"/>
      <c r="Y17" s="73"/>
      <c r="Z17" s="72"/>
      <c r="AA17" s="73"/>
      <c r="AB17" s="72"/>
      <c r="AC17" s="72"/>
      <c r="AD17" s="73"/>
      <c r="AE17" s="74"/>
      <c r="AF17" s="72"/>
      <c r="AG17" s="73"/>
      <c r="AH17" s="72"/>
    </row>
    <row r="18" spans="1:34" ht="13.5" customHeight="1">
      <c r="A18" s="92">
        <f t="shared" si="4"/>
        <v>42018</v>
      </c>
      <c r="B18" s="93"/>
      <c r="C18" s="92">
        <f t="shared" si="5"/>
        <v>42049</v>
      </c>
      <c r="D18" s="93"/>
      <c r="E18" s="92">
        <f t="shared" si="6"/>
        <v>42077</v>
      </c>
      <c r="F18" s="93"/>
      <c r="G18" s="92">
        <f t="shared" si="1"/>
        <v>42108</v>
      </c>
      <c r="H18" s="170">
        <f t="shared" si="7"/>
      </c>
      <c r="I18" s="92">
        <f t="shared" si="2"/>
        <v>42138</v>
      </c>
      <c r="J18" s="97" t="str">
        <f t="shared" si="14"/>
        <v>Chr. Himmelfahrt</v>
      </c>
      <c r="K18" s="92">
        <f t="shared" si="8"/>
        <v>42169</v>
      </c>
      <c r="L18" s="97">
        <f t="shared" si="0"/>
      </c>
      <c r="M18" s="92">
        <f t="shared" si="9"/>
        <v>42199</v>
      </c>
      <c r="N18" s="93"/>
      <c r="O18" s="92">
        <f t="shared" si="3"/>
        <v>42230</v>
      </c>
      <c r="P18" s="93"/>
      <c r="Q18" s="92">
        <f t="shared" si="10"/>
        <v>42261</v>
      </c>
      <c r="R18" s="93"/>
      <c r="S18" s="92">
        <f t="shared" si="11"/>
        <v>42291</v>
      </c>
      <c r="T18" s="93"/>
      <c r="U18" s="92">
        <f t="shared" si="12"/>
        <v>42322</v>
      </c>
      <c r="V18" s="160"/>
      <c r="W18" s="92">
        <f t="shared" si="13"/>
        <v>42352</v>
      </c>
      <c r="X18" s="96"/>
      <c r="Y18" s="73"/>
      <c r="Z18" s="72"/>
      <c r="AA18" s="73"/>
      <c r="AB18" s="72"/>
      <c r="AC18" s="72"/>
      <c r="AD18" s="73"/>
      <c r="AE18" s="74"/>
      <c r="AF18" s="72"/>
      <c r="AG18" s="73"/>
      <c r="AH18" s="72"/>
    </row>
    <row r="19" spans="1:34" ht="13.5" customHeight="1">
      <c r="A19" s="92">
        <f t="shared" si="4"/>
        <v>42019</v>
      </c>
      <c r="B19" s="93"/>
      <c r="C19" s="92">
        <f t="shared" si="5"/>
        <v>42050</v>
      </c>
      <c r="D19" s="93"/>
      <c r="E19" s="92">
        <f t="shared" si="6"/>
        <v>42078</v>
      </c>
      <c r="F19" s="93"/>
      <c r="G19" s="92">
        <f t="shared" si="1"/>
        <v>42109</v>
      </c>
      <c r="H19" s="170">
        <f t="shared" si="7"/>
      </c>
      <c r="I19" s="92">
        <f t="shared" si="2"/>
        <v>42139</v>
      </c>
      <c r="J19" s="97">
        <f t="shared" si="14"/>
      </c>
      <c r="K19" s="92">
        <f t="shared" si="8"/>
        <v>42170</v>
      </c>
      <c r="L19" s="97">
        <f t="shared" si="0"/>
      </c>
      <c r="M19" s="92">
        <f t="shared" si="9"/>
        <v>42200</v>
      </c>
      <c r="N19" s="93"/>
      <c r="O19" s="155">
        <f t="shared" si="3"/>
        <v>42231</v>
      </c>
      <c r="P19" s="97" t="s">
        <v>93</v>
      </c>
      <c r="Q19" s="92">
        <f t="shared" si="10"/>
        <v>42262</v>
      </c>
      <c r="R19" s="93"/>
      <c r="S19" s="92">
        <f t="shared" si="11"/>
        <v>42292</v>
      </c>
      <c r="T19" s="93"/>
      <c r="U19" s="92">
        <f t="shared" si="12"/>
        <v>42323</v>
      </c>
      <c r="V19" s="160"/>
      <c r="W19" s="92">
        <f t="shared" si="13"/>
        <v>42353</v>
      </c>
      <c r="X19" s="96"/>
      <c r="Y19" s="73"/>
      <c r="Z19" s="72"/>
      <c r="AA19" s="73"/>
      <c r="AB19" s="72"/>
      <c r="AC19" s="72"/>
      <c r="AD19" s="73"/>
      <c r="AE19" s="74"/>
      <c r="AF19" s="72"/>
      <c r="AG19" s="73"/>
      <c r="AH19" s="72"/>
    </row>
    <row r="20" spans="1:34" ht="13.5" customHeight="1">
      <c r="A20" s="92">
        <f t="shared" si="4"/>
        <v>42020</v>
      </c>
      <c r="B20" s="93"/>
      <c r="C20" s="92">
        <f t="shared" si="5"/>
        <v>42051</v>
      </c>
      <c r="D20" s="93"/>
      <c r="E20" s="92">
        <f t="shared" si="6"/>
        <v>42079</v>
      </c>
      <c r="F20" s="93"/>
      <c r="G20" s="92">
        <f t="shared" si="1"/>
        <v>42110</v>
      </c>
      <c r="H20" s="170">
        <f t="shared" si="7"/>
      </c>
      <c r="I20" s="92">
        <f t="shared" si="2"/>
        <v>42140</v>
      </c>
      <c r="J20" s="97">
        <f>IF(I20=$E$43,$C$43,IF(I20=$E$44,$C$44,IF(I20=$E$45,$C$45,IF(I20=$E$46,$C$46,""))))</f>
      </c>
      <c r="K20" s="92">
        <f t="shared" si="8"/>
        <v>42171</v>
      </c>
      <c r="L20" s="97">
        <f t="shared" si="0"/>
      </c>
      <c r="M20" s="92">
        <f t="shared" si="9"/>
        <v>42201</v>
      </c>
      <c r="N20" s="93"/>
      <c r="O20" s="92">
        <f t="shared" si="3"/>
        <v>42232</v>
      </c>
      <c r="P20" s="93"/>
      <c r="Q20" s="92">
        <f t="shared" si="10"/>
        <v>42263</v>
      </c>
      <c r="R20" s="93"/>
      <c r="S20" s="92">
        <f t="shared" si="11"/>
        <v>42293</v>
      </c>
      <c r="T20" s="93"/>
      <c r="U20" s="92">
        <f aca="true" t="shared" si="15" ref="U20:U34">U19+1</f>
        <v>42324</v>
      </c>
      <c r="V20" s="160">
        <f aca="true" t="shared" si="16" ref="V20:V26">IF(WEEKDAY(U20)=4,"Buß und Bettag","")</f>
      </c>
      <c r="W20" s="92">
        <f t="shared" si="13"/>
        <v>42354</v>
      </c>
      <c r="X20" s="96"/>
      <c r="Y20" s="73"/>
      <c r="Z20" s="72"/>
      <c r="AA20" s="73"/>
      <c r="AB20" s="72"/>
      <c r="AC20" s="72"/>
      <c r="AD20" s="73"/>
      <c r="AE20" s="74"/>
      <c r="AF20" s="72"/>
      <c r="AG20" s="73"/>
      <c r="AH20" s="72"/>
    </row>
    <row r="21" spans="1:34" ht="13.5" customHeight="1">
      <c r="A21" s="92">
        <f t="shared" si="4"/>
        <v>42021</v>
      </c>
      <c r="B21" s="93"/>
      <c r="C21" s="92">
        <f t="shared" si="5"/>
        <v>42052</v>
      </c>
      <c r="D21" s="93"/>
      <c r="E21" s="92">
        <f t="shared" si="6"/>
        <v>42080</v>
      </c>
      <c r="F21" s="93"/>
      <c r="G21" s="92">
        <f t="shared" si="1"/>
        <v>42111</v>
      </c>
      <c r="H21" s="170">
        <f t="shared" si="7"/>
      </c>
      <c r="I21" s="92">
        <f t="shared" si="2"/>
        <v>42141</v>
      </c>
      <c r="J21" s="97">
        <f aca="true" t="shared" si="17" ref="J21:J35">IF(I21=$E$43,$C$43,IF(I21=$E$44,$C$44,IF(I21=$E$45,$C$45,IF(I21=$E$46,$C$46,""))))</f>
      </c>
      <c r="K21" s="92">
        <f t="shared" si="8"/>
        <v>42172</v>
      </c>
      <c r="L21" s="97">
        <f t="shared" si="0"/>
      </c>
      <c r="M21" s="92">
        <f t="shared" si="9"/>
        <v>42202</v>
      </c>
      <c r="N21" s="93"/>
      <c r="O21" s="92">
        <f t="shared" si="3"/>
        <v>42233</v>
      </c>
      <c r="P21" s="93"/>
      <c r="Q21" s="92">
        <f t="shared" si="10"/>
        <v>42264</v>
      </c>
      <c r="R21" s="93"/>
      <c r="S21" s="92">
        <f t="shared" si="11"/>
        <v>42294</v>
      </c>
      <c r="T21" s="93"/>
      <c r="U21" s="92">
        <f t="shared" si="15"/>
        <v>42325</v>
      </c>
      <c r="V21" s="160">
        <f t="shared" si="16"/>
      </c>
      <c r="W21" s="92">
        <f t="shared" si="13"/>
        <v>42355</v>
      </c>
      <c r="X21" s="96"/>
      <c r="Y21" s="73"/>
      <c r="Z21" s="72"/>
      <c r="AA21" s="73"/>
      <c r="AB21" s="72"/>
      <c r="AC21" s="72"/>
      <c r="AD21" s="73"/>
      <c r="AE21" s="74"/>
      <c r="AF21" s="72"/>
      <c r="AG21" s="73"/>
      <c r="AH21" s="72"/>
    </row>
    <row r="22" spans="1:34" ht="13.5" customHeight="1">
      <c r="A22" s="92">
        <f t="shared" si="4"/>
        <v>42022</v>
      </c>
      <c r="B22" s="93"/>
      <c r="C22" s="92">
        <f t="shared" si="5"/>
        <v>42053</v>
      </c>
      <c r="D22" s="93"/>
      <c r="E22" s="92">
        <f t="shared" si="6"/>
        <v>42081</v>
      </c>
      <c r="F22" s="93"/>
      <c r="G22" s="92">
        <f t="shared" si="1"/>
        <v>42112</v>
      </c>
      <c r="H22" s="170">
        <f t="shared" si="7"/>
      </c>
      <c r="I22" s="92">
        <f t="shared" si="2"/>
        <v>42142</v>
      </c>
      <c r="J22" s="97">
        <f t="shared" si="17"/>
      </c>
      <c r="K22" s="92">
        <f t="shared" si="8"/>
        <v>42173</v>
      </c>
      <c r="L22" s="97">
        <f t="shared" si="0"/>
      </c>
      <c r="M22" s="92">
        <f t="shared" si="9"/>
        <v>42203</v>
      </c>
      <c r="N22" s="93"/>
      <c r="O22" s="92">
        <f t="shared" si="3"/>
        <v>42234</v>
      </c>
      <c r="P22" s="93"/>
      <c r="Q22" s="92">
        <f t="shared" si="10"/>
        <v>42265</v>
      </c>
      <c r="R22" s="93"/>
      <c r="S22" s="92">
        <f t="shared" si="11"/>
        <v>42295</v>
      </c>
      <c r="T22" s="93"/>
      <c r="U22" s="92">
        <f t="shared" si="15"/>
        <v>42326</v>
      </c>
      <c r="V22" s="160" t="str">
        <f t="shared" si="16"/>
        <v>Buß und Bettag</v>
      </c>
      <c r="W22" s="92">
        <f t="shared" si="13"/>
        <v>42356</v>
      </c>
      <c r="X22" s="96"/>
      <c r="Y22" s="73"/>
      <c r="Z22" s="72"/>
      <c r="AA22" s="73"/>
      <c r="AB22" s="72"/>
      <c r="AC22" s="72"/>
      <c r="AD22" s="73"/>
      <c r="AE22" s="74"/>
      <c r="AF22" s="72"/>
      <c r="AG22" s="73"/>
      <c r="AH22" s="72"/>
    </row>
    <row r="23" spans="1:34" ht="13.5" customHeight="1">
      <c r="A23" s="92">
        <f t="shared" si="4"/>
        <v>42023</v>
      </c>
      <c r="B23" s="93"/>
      <c r="C23" s="92">
        <f t="shared" si="5"/>
        <v>42054</v>
      </c>
      <c r="D23" s="93"/>
      <c r="E23" s="92">
        <f t="shared" si="6"/>
        <v>42082</v>
      </c>
      <c r="F23" s="93"/>
      <c r="G23" s="92">
        <f t="shared" si="1"/>
        <v>42113</v>
      </c>
      <c r="H23" s="170">
        <f t="shared" si="7"/>
      </c>
      <c r="I23" s="92">
        <f t="shared" si="2"/>
        <v>42143</v>
      </c>
      <c r="J23" s="97">
        <f t="shared" si="17"/>
      </c>
      <c r="K23" s="92">
        <f t="shared" si="8"/>
        <v>42174</v>
      </c>
      <c r="L23" s="97">
        <f t="shared" si="0"/>
      </c>
      <c r="M23" s="92">
        <f t="shared" si="9"/>
        <v>42204</v>
      </c>
      <c r="N23" s="93"/>
      <c r="O23" s="92">
        <f t="shared" si="3"/>
        <v>42235</v>
      </c>
      <c r="P23" s="93"/>
      <c r="Q23" s="92">
        <f t="shared" si="10"/>
        <v>42266</v>
      </c>
      <c r="R23" s="93"/>
      <c r="S23" s="92">
        <f t="shared" si="11"/>
        <v>42296</v>
      </c>
      <c r="T23" s="93"/>
      <c r="U23" s="92">
        <f t="shared" si="15"/>
        <v>42327</v>
      </c>
      <c r="V23" s="160">
        <f t="shared" si="16"/>
      </c>
      <c r="W23" s="92">
        <f t="shared" si="13"/>
        <v>42357</v>
      </c>
      <c r="X23" s="96"/>
      <c r="Y23" s="73"/>
      <c r="Z23" s="72"/>
      <c r="AA23" s="73"/>
      <c r="AB23" s="72"/>
      <c r="AC23" s="72"/>
      <c r="AD23" s="73"/>
      <c r="AE23" s="74"/>
      <c r="AF23" s="72"/>
      <c r="AG23" s="73"/>
      <c r="AH23" s="72"/>
    </row>
    <row r="24" spans="1:34" ht="13.5" customHeight="1">
      <c r="A24" s="92">
        <f t="shared" si="4"/>
        <v>42024</v>
      </c>
      <c r="B24" s="93"/>
      <c r="C24" s="92">
        <f t="shared" si="5"/>
        <v>42055</v>
      </c>
      <c r="D24" s="93"/>
      <c r="E24" s="163">
        <f aca="true" t="shared" si="18" ref="E24:E35">E23+1</f>
        <v>42083</v>
      </c>
      <c r="F24" s="170"/>
      <c r="G24" s="92">
        <f t="shared" si="1"/>
        <v>42114</v>
      </c>
      <c r="H24" s="170">
        <f t="shared" si="7"/>
      </c>
      <c r="I24" s="92">
        <f t="shared" si="2"/>
        <v>42144</v>
      </c>
      <c r="J24" s="97">
        <f t="shared" si="17"/>
      </c>
      <c r="K24" s="92">
        <f t="shared" si="8"/>
        <v>42175</v>
      </c>
      <c r="L24" s="97">
        <f t="shared" si="0"/>
      </c>
      <c r="M24" s="92">
        <f t="shared" si="9"/>
        <v>42205</v>
      </c>
      <c r="N24" s="93"/>
      <c r="O24" s="92">
        <f t="shared" si="3"/>
        <v>42236</v>
      </c>
      <c r="P24" s="93"/>
      <c r="Q24" s="92">
        <f t="shared" si="10"/>
        <v>42267</v>
      </c>
      <c r="R24" s="93"/>
      <c r="S24" s="92">
        <f t="shared" si="11"/>
        <v>42297</v>
      </c>
      <c r="T24" s="93"/>
      <c r="U24" s="92">
        <f t="shared" si="15"/>
        <v>42328</v>
      </c>
      <c r="V24" s="160">
        <f t="shared" si="16"/>
      </c>
      <c r="W24" s="92">
        <f t="shared" si="13"/>
        <v>42358</v>
      </c>
      <c r="X24" s="96"/>
      <c r="Y24" s="73"/>
      <c r="Z24" s="72"/>
      <c r="AA24" s="73"/>
      <c r="AB24" s="72"/>
      <c r="AC24" s="72"/>
      <c r="AD24" s="73"/>
      <c r="AE24" s="72"/>
      <c r="AF24" s="72"/>
      <c r="AG24" s="73"/>
      <c r="AH24" s="72"/>
    </row>
    <row r="25" spans="1:34" ht="13.5" customHeight="1">
      <c r="A25" s="92">
        <f t="shared" si="4"/>
        <v>42025</v>
      </c>
      <c r="B25" s="93"/>
      <c r="C25" s="92">
        <f t="shared" si="5"/>
        <v>42056</v>
      </c>
      <c r="D25" s="93"/>
      <c r="E25" s="163">
        <f t="shared" si="18"/>
        <v>42084</v>
      </c>
      <c r="F25" s="170"/>
      <c r="G25" s="92">
        <f t="shared" si="1"/>
        <v>42115</v>
      </c>
      <c r="H25" s="170">
        <f t="shared" si="7"/>
      </c>
      <c r="I25" s="92">
        <f t="shared" si="2"/>
        <v>42145</v>
      </c>
      <c r="J25" s="97">
        <f t="shared" si="17"/>
      </c>
      <c r="K25" s="92">
        <f t="shared" si="8"/>
        <v>42176</v>
      </c>
      <c r="L25" s="97">
        <f t="shared" si="0"/>
      </c>
      <c r="M25" s="92">
        <f t="shared" si="9"/>
        <v>42206</v>
      </c>
      <c r="N25" s="93"/>
      <c r="O25" s="92">
        <f t="shared" si="3"/>
        <v>42237</v>
      </c>
      <c r="P25" s="93"/>
      <c r="Q25" s="92">
        <f t="shared" si="10"/>
        <v>42268</v>
      </c>
      <c r="R25" s="93"/>
      <c r="S25" s="92">
        <f t="shared" si="11"/>
        <v>42298</v>
      </c>
      <c r="T25" s="93"/>
      <c r="U25" s="92">
        <f t="shared" si="15"/>
        <v>42329</v>
      </c>
      <c r="V25" s="160">
        <f t="shared" si="16"/>
      </c>
      <c r="W25" s="92">
        <f t="shared" si="13"/>
        <v>42359</v>
      </c>
      <c r="X25" s="96"/>
      <c r="Y25" s="73"/>
      <c r="Z25" s="72"/>
      <c r="AA25" s="73"/>
      <c r="AB25" s="72"/>
      <c r="AC25" s="72"/>
      <c r="AD25" s="73"/>
      <c r="AE25" s="72"/>
      <c r="AF25" s="72"/>
      <c r="AG25" s="73"/>
      <c r="AH25" s="72"/>
    </row>
    <row r="26" spans="1:34" ht="13.5" customHeight="1">
      <c r="A26" s="92">
        <f t="shared" si="4"/>
        <v>42026</v>
      </c>
      <c r="B26" s="93"/>
      <c r="C26" s="92">
        <f t="shared" si="5"/>
        <v>42057</v>
      </c>
      <c r="D26" s="93"/>
      <c r="E26" s="163">
        <f t="shared" si="18"/>
        <v>42085</v>
      </c>
      <c r="F26" s="170">
        <f aca="true" t="shared" si="19" ref="F26:F35">IF(E26=$E$40,$C$40,IF(E26=$E$41,$C$41,IF(E26=$E$42,$C$42,"")))</f>
      </c>
      <c r="G26" s="92">
        <f t="shared" si="1"/>
        <v>42116</v>
      </c>
      <c r="H26" s="170">
        <f t="shared" si="7"/>
      </c>
      <c r="I26" s="92">
        <f t="shared" si="2"/>
        <v>42146</v>
      </c>
      <c r="J26" s="97">
        <f t="shared" si="17"/>
      </c>
      <c r="K26" s="92">
        <f t="shared" si="8"/>
        <v>42177</v>
      </c>
      <c r="L26" s="97">
        <f t="shared" si="0"/>
      </c>
      <c r="M26" s="92">
        <f t="shared" si="9"/>
        <v>42207</v>
      </c>
      <c r="N26" s="93"/>
      <c r="O26" s="92">
        <f t="shared" si="3"/>
        <v>42238</v>
      </c>
      <c r="P26" s="93"/>
      <c r="Q26" s="92">
        <f t="shared" si="10"/>
        <v>42269</v>
      </c>
      <c r="R26" s="93"/>
      <c r="S26" s="92">
        <f t="shared" si="11"/>
        <v>42299</v>
      </c>
      <c r="T26" s="93"/>
      <c r="U26" s="92">
        <f t="shared" si="15"/>
        <v>42330</v>
      </c>
      <c r="V26" s="160">
        <f t="shared" si="16"/>
      </c>
      <c r="W26" s="92">
        <f t="shared" si="13"/>
        <v>42360</v>
      </c>
      <c r="X26" s="96"/>
      <c r="Y26" s="73"/>
      <c r="Z26" s="72"/>
      <c r="AA26" s="73"/>
      <c r="AB26" s="72"/>
      <c r="AC26" s="72"/>
      <c r="AD26" s="73"/>
      <c r="AE26" s="72"/>
      <c r="AF26" s="72"/>
      <c r="AG26" s="73"/>
      <c r="AH26" s="72"/>
    </row>
    <row r="27" spans="1:34" ht="13.5" customHeight="1">
      <c r="A27" s="92">
        <f t="shared" si="4"/>
        <v>42027</v>
      </c>
      <c r="B27" s="93"/>
      <c r="C27" s="92">
        <f t="shared" si="5"/>
        <v>42058</v>
      </c>
      <c r="D27" s="93"/>
      <c r="E27" s="92">
        <f t="shared" si="18"/>
        <v>42086</v>
      </c>
      <c r="F27" s="170">
        <f t="shared" si="19"/>
      </c>
      <c r="G27" s="92">
        <f t="shared" si="1"/>
        <v>42117</v>
      </c>
      <c r="H27" s="170">
        <f t="shared" si="7"/>
      </c>
      <c r="I27" s="92">
        <f t="shared" si="2"/>
        <v>42147</v>
      </c>
      <c r="J27" s="97">
        <f t="shared" si="17"/>
      </c>
      <c r="K27" s="92">
        <f t="shared" si="8"/>
        <v>42178</v>
      </c>
      <c r="L27" s="97">
        <f t="shared" si="0"/>
      </c>
      <c r="M27" s="92">
        <f t="shared" si="9"/>
        <v>42208</v>
      </c>
      <c r="N27" s="93"/>
      <c r="O27" s="92">
        <f t="shared" si="3"/>
        <v>42239</v>
      </c>
      <c r="P27" s="93"/>
      <c r="Q27" s="92">
        <f t="shared" si="10"/>
        <v>42270</v>
      </c>
      <c r="R27" s="93"/>
      <c r="S27" s="92">
        <f t="shared" si="11"/>
        <v>42300</v>
      </c>
      <c r="T27" s="93"/>
      <c r="U27" s="92">
        <f t="shared" si="15"/>
        <v>42331</v>
      </c>
      <c r="V27" s="93"/>
      <c r="W27" s="92">
        <f t="shared" si="13"/>
        <v>42361</v>
      </c>
      <c r="X27" s="96"/>
      <c r="Y27" s="73"/>
      <c r="Z27" s="72"/>
      <c r="AA27" s="73"/>
      <c r="AB27" s="72"/>
      <c r="AC27" s="72"/>
      <c r="AD27" s="73"/>
      <c r="AE27" s="72"/>
      <c r="AF27" s="72"/>
      <c r="AG27" s="73"/>
      <c r="AH27" s="72"/>
    </row>
    <row r="28" spans="1:34" ht="13.5" customHeight="1">
      <c r="A28" s="92">
        <f t="shared" si="4"/>
        <v>42028</v>
      </c>
      <c r="B28" s="93"/>
      <c r="C28" s="92">
        <f t="shared" si="5"/>
        <v>42059</v>
      </c>
      <c r="D28" s="93"/>
      <c r="E28" s="92">
        <f t="shared" si="18"/>
        <v>42087</v>
      </c>
      <c r="F28" s="170">
        <f t="shared" si="19"/>
      </c>
      <c r="G28" s="92">
        <f t="shared" si="1"/>
        <v>42118</v>
      </c>
      <c r="H28" s="170">
        <f t="shared" si="7"/>
      </c>
      <c r="I28" s="92">
        <f t="shared" si="2"/>
        <v>42148</v>
      </c>
      <c r="J28" s="97" t="str">
        <f t="shared" si="17"/>
        <v>Pfingstsonntag</v>
      </c>
      <c r="K28" s="92">
        <f t="shared" si="8"/>
        <v>42179</v>
      </c>
      <c r="L28" s="97">
        <f t="shared" si="0"/>
      </c>
      <c r="M28" s="92">
        <f t="shared" si="9"/>
        <v>42209</v>
      </c>
      <c r="N28" s="93"/>
      <c r="O28" s="92">
        <f t="shared" si="3"/>
        <v>42240</v>
      </c>
      <c r="P28" s="93"/>
      <c r="Q28" s="92">
        <f t="shared" si="10"/>
        <v>42271</v>
      </c>
      <c r="R28" s="93"/>
      <c r="S28" s="92">
        <f t="shared" si="11"/>
        <v>42301</v>
      </c>
      <c r="T28" s="93"/>
      <c r="U28" s="92">
        <f t="shared" si="15"/>
        <v>42332</v>
      </c>
      <c r="V28" s="93"/>
      <c r="W28" s="92">
        <f t="shared" si="13"/>
        <v>42362</v>
      </c>
      <c r="X28" s="96"/>
      <c r="Y28" s="73"/>
      <c r="Z28" s="72"/>
      <c r="AA28" s="73"/>
      <c r="AB28" s="72"/>
      <c r="AC28" s="72"/>
      <c r="AD28" s="73"/>
      <c r="AE28" s="72"/>
      <c r="AF28" s="72"/>
      <c r="AG28" s="73"/>
      <c r="AH28" s="72"/>
    </row>
    <row r="29" spans="1:34" ht="13.5" customHeight="1">
      <c r="A29" s="92">
        <f t="shared" si="4"/>
        <v>42029</v>
      </c>
      <c r="B29" s="93"/>
      <c r="C29" s="92">
        <f t="shared" si="5"/>
        <v>42060</v>
      </c>
      <c r="D29" s="93"/>
      <c r="E29" s="92">
        <f t="shared" si="18"/>
        <v>42088</v>
      </c>
      <c r="F29" s="170">
        <f t="shared" si="19"/>
      </c>
      <c r="G29" s="92">
        <f t="shared" si="1"/>
        <v>42119</v>
      </c>
      <c r="H29" s="170">
        <f t="shared" si="7"/>
      </c>
      <c r="I29" s="92">
        <f t="shared" si="2"/>
        <v>42149</v>
      </c>
      <c r="J29" s="97" t="str">
        <f t="shared" si="17"/>
        <v>Pfingstmontag</v>
      </c>
      <c r="K29" s="92">
        <f t="shared" si="8"/>
        <v>42180</v>
      </c>
      <c r="L29" s="97">
        <f t="shared" si="0"/>
      </c>
      <c r="M29" s="92">
        <f t="shared" si="9"/>
        <v>42210</v>
      </c>
      <c r="N29" s="93"/>
      <c r="O29" s="92">
        <f t="shared" si="3"/>
        <v>42241</v>
      </c>
      <c r="P29" s="93"/>
      <c r="Q29" s="92">
        <f t="shared" si="10"/>
        <v>42272</v>
      </c>
      <c r="R29" s="93"/>
      <c r="S29" s="92">
        <f t="shared" si="11"/>
        <v>42302</v>
      </c>
      <c r="T29" s="93"/>
      <c r="U29" s="92">
        <f t="shared" si="15"/>
        <v>42333</v>
      </c>
      <c r="V29" s="96"/>
      <c r="W29" s="158">
        <f aca="true" t="shared" si="20" ref="W29:W35">W28+1</f>
        <v>42363</v>
      </c>
      <c r="X29" s="162" t="s">
        <v>86</v>
      </c>
      <c r="Y29" s="75"/>
      <c r="Z29" s="68"/>
      <c r="AA29" s="75"/>
      <c r="AB29" s="68"/>
      <c r="AC29" s="72"/>
      <c r="AD29" s="73"/>
      <c r="AE29" s="72"/>
      <c r="AF29" s="72"/>
      <c r="AG29" s="75"/>
      <c r="AH29" s="68"/>
    </row>
    <row r="30" spans="1:34" ht="13.5" customHeight="1">
      <c r="A30" s="92">
        <f t="shared" si="4"/>
        <v>42030</v>
      </c>
      <c r="B30" s="93"/>
      <c r="C30" s="92">
        <f t="shared" si="5"/>
        <v>42061</v>
      </c>
      <c r="D30" s="93"/>
      <c r="E30" s="92">
        <f t="shared" si="18"/>
        <v>42089</v>
      </c>
      <c r="F30" s="170">
        <f t="shared" si="19"/>
      </c>
      <c r="G30" s="92">
        <f t="shared" si="1"/>
        <v>42120</v>
      </c>
      <c r="H30" s="170"/>
      <c r="I30" s="92">
        <f t="shared" si="2"/>
        <v>42150</v>
      </c>
      <c r="J30" s="97">
        <f t="shared" si="17"/>
      </c>
      <c r="K30" s="92">
        <f t="shared" si="8"/>
        <v>42181</v>
      </c>
      <c r="L30" s="97">
        <f t="shared" si="0"/>
      </c>
      <c r="M30" s="92">
        <f t="shared" si="9"/>
        <v>42211</v>
      </c>
      <c r="N30" s="93"/>
      <c r="O30" s="92">
        <f t="shared" si="3"/>
        <v>42242</v>
      </c>
      <c r="P30" s="93"/>
      <c r="Q30" s="92">
        <f t="shared" si="10"/>
        <v>42273</v>
      </c>
      <c r="R30" s="93"/>
      <c r="S30" s="92">
        <f t="shared" si="11"/>
        <v>42303</v>
      </c>
      <c r="T30" s="93"/>
      <c r="U30" s="92">
        <f t="shared" si="15"/>
        <v>42334</v>
      </c>
      <c r="V30" s="93"/>
      <c r="W30" s="164">
        <f t="shared" si="20"/>
        <v>42364</v>
      </c>
      <c r="X30" s="165" t="s">
        <v>85</v>
      </c>
      <c r="Y30" s="75"/>
      <c r="Z30" s="68"/>
      <c r="AA30" s="75"/>
      <c r="AB30" s="68"/>
      <c r="AC30" s="72"/>
      <c r="AD30" s="73"/>
      <c r="AE30" s="72"/>
      <c r="AF30" s="72"/>
      <c r="AG30" s="75"/>
      <c r="AH30" s="68"/>
    </row>
    <row r="31" spans="1:34" ht="13.5" customHeight="1">
      <c r="A31" s="92">
        <f t="shared" si="4"/>
        <v>42031</v>
      </c>
      <c r="B31" s="93"/>
      <c r="C31" s="92">
        <f t="shared" si="5"/>
        <v>42062</v>
      </c>
      <c r="D31" s="93"/>
      <c r="E31" s="92">
        <f t="shared" si="18"/>
        <v>42090</v>
      </c>
      <c r="F31" s="170">
        <f t="shared" si="19"/>
      </c>
      <c r="G31" s="92">
        <f t="shared" si="1"/>
        <v>42121</v>
      </c>
      <c r="H31" s="170"/>
      <c r="I31" s="92">
        <f t="shared" si="2"/>
        <v>42151</v>
      </c>
      <c r="J31" s="97">
        <f t="shared" si="17"/>
      </c>
      <c r="K31" s="92">
        <f t="shared" si="8"/>
        <v>42182</v>
      </c>
      <c r="L31" s="97">
        <f t="shared" si="0"/>
      </c>
      <c r="M31" s="92">
        <f t="shared" si="9"/>
        <v>42212</v>
      </c>
      <c r="N31" s="93"/>
      <c r="O31" s="92">
        <f t="shared" si="3"/>
        <v>42243</v>
      </c>
      <c r="P31" s="93"/>
      <c r="Q31" s="92">
        <f t="shared" si="10"/>
        <v>42274</v>
      </c>
      <c r="R31" s="93"/>
      <c r="S31" s="92">
        <f t="shared" si="11"/>
        <v>42304</v>
      </c>
      <c r="T31" s="93"/>
      <c r="U31" s="92">
        <f t="shared" si="15"/>
        <v>42335</v>
      </c>
      <c r="V31" s="93"/>
      <c r="W31" s="163">
        <f t="shared" si="20"/>
        <v>42365</v>
      </c>
      <c r="X31" s="96"/>
      <c r="Y31" s="73"/>
      <c r="Z31" s="72"/>
      <c r="AA31" s="73"/>
      <c r="AB31" s="72"/>
      <c r="AC31" s="72"/>
      <c r="AD31" s="73"/>
      <c r="AE31" s="72"/>
      <c r="AF31" s="72"/>
      <c r="AG31" s="73"/>
      <c r="AH31" s="72"/>
    </row>
    <row r="32" spans="1:34" ht="13.5" customHeight="1">
      <c r="A32" s="92">
        <f t="shared" si="4"/>
        <v>42032</v>
      </c>
      <c r="B32" s="93"/>
      <c r="C32" s="92">
        <f t="shared" si="5"/>
        <v>42063</v>
      </c>
      <c r="D32" s="93"/>
      <c r="E32" s="92">
        <f t="shared" si="18"/>
        <v>42091</v>
      </c>
      <c r="F32" s="170">
        <f t="shared" si="19"/>
      </c>
      <c r="G32" s="92">
        <f t="shared" si="1"/>
        <v>42122</v>
      </c>
      <c r="H32" s="170"/>
      <c r="I32" s="92">
        <f t="shared" si="2"/>
        <v>42152</v>
      </c>
      <c r="J32" s="97">
        <f t="shared" si="17"/>
      </c>
      <c r="K32" s="92">
        <f>K31+1</f>
        <v>42183</v>
      </c>
      <c r="L32" s="93"/>
      <c r="M32" s="92">
        <f t="shared" si="9"/>
        <v>42213</v>
      </c>
      <c r="N32" s="93"/>
      <c r="O32" s="92">
        <f t="shared" si="3"/>
        <v>42244</v>
      </c>
      <c r="P32" s="93"/>
      <c r="Q32" s="92">
        <f t="shared" si="10"/>
        <v>42275</v>
      </c>
      <c r="R32" s="93"/>
      <c r="S32" s="92">
        <f t="shared" si="11"/>
        <v>42305</v>
      </c>
      <c r="T32" s="93"/>
      <c r="U32" s="92">
        <f t="shared" si="15"/>
        <v>42336</v>
      </c>
      <c r="V32" s="93"/>
      <c r="W32" s="92">
        <f t="shared" si="20"/>
        <v>42366</v>
      </c>
      <c r="X32" s="96"/>
      <c r="Y32" s="73"/>
      <c r="Z32" s="72"/>
      <c r="AA32" s="73"/>
      <c r="AB32" s="72"/>
      <c r="AC32" s="72"/>
      <c r="AD32" s="73"/>
      <c r="AE32" s="72"/>
      <c r="AF32" s="72"/>
      <c r="AG32" s="73"/>
      <c r="AH32" s="72"/>
    </row>
    <row r="33" spans="1:34" ht="13.5" customHeight="1">
      <c r="A33" s="92">
        <f t="shared" si="4"/>
        <v>42033</v>
      </c>
      <c r="B33" s="93"/>
      <c r="C33" s="94">
        <f>CHOOSE(OR(AND(MOD(gewJahr,4)=0,MOD(gewJahr,100)&lt;&gt;0),MOD(gewJahr,400)=0)+1,"",C32+1)</f>
      </c>
      <c r="D33" s="95"/>
      <c r="E33" s="92">
        <f t="shared" si="18"/>
        <v>42092</v>
      </c>
      <c r="F33" s="170">
        <f t="shared" si="19"/>
      </c>
      <c r="G33" s="92">
        <f t="shared" si="1"/>
        <v>42123</v>
      </c>
      <c r="H33" s="170"/>
      <c r="I33" s="92">
        <f t="shared" si="2"/>
        <v>42153</v>
      </c>
      <c r="J33" s="97">
        <f t="shared" si="17"/>
      </c>
      <c r="K33" s="92">
        <f>K32+1</f>
        <v>42184</v>
      </c>
      <c r="L33" s="93"/>
      <c r="M33" s="92">
        <f t="shared" si="9"/>
        <v>42214</v>
      </c>
      <c r="N33" s="93"/>
      <c r="O33" s="92">
        <f t="shared" si="3"/>
        <v>42245</v>
      </c>
      <c r="P33" s="93"/>
      <c r="Q33" s="92">
        <f t="shared" si="10"/>
        <v>42276</v>
      </c>
      <c r="R33" s="93"/>
      <c r="S33" s="92">
        <f t="shared" si="11"/>
        <v>42306</v>
      </c>
      <c r="T33" s="93"/>
      <c r="U33" s="92">
        <f t="shared" si="15"/>
        <v>42337</v>
      </c>
      <c r="V33" s="93"/>
      <c r="W33" s="92">
        <f t="shared" si="20"/>
        <v>42367</v>
      </c>
      <c r="X33" s="96"/>
      <c r="Y33" s="73"/>
      <c r="Z33" s="72"/>
      <c r="AA33" s="73"/>
      <c r="AB33" s="72"/>
      <c r="AC33" s="72"/>
      <c r="AD33" s="73"/>
      <c r="AE33" s="72"/>
      <c r="AF33" s="72"/>
      <c r="AG33" s="73"/>
      <c r="AH33" s="72"/>
    </row>
    <row r="34" spans="1:34" ht="13.5" customHeight="1">
      <c r="A34" s="92">
        <f t="shared" si="4"/>
        <v>42034</v>
      </c>
      <c r="B34" s="96"/>
      <c r="C34" s="73"/>
      <c r="D34" s="72"/>
      <c r="E34" s="92">
        <f t="shared" si="18"/>
        <v>42093</v>
      </c>
      <c r="F34" s="170">
        <f t="shared" si="19"/>
      </c>
      <c r="G34" s="94">
        <f t="shared" si="1"/>
        <v>42124</v>
      </c>
      <c r="H34" s="185"/>
      <c r="I34" s="92">
        <f t="shared" si="2"/>
        <v>42154</v>
      </c>
      <c r="J34" s="97">
        <f t="shared" si="17"/>
      </c>
      <c r="K34" s="92">
        <f>K33+1</f>
        <v>42185</v>
      </c>
      <c r="L34" s="93"/>
      <c r="M34" s="92">
        <f t="shared" si="9"/>
        <v>42215</v>
      </c>
      <c r="N34" s="93"/>
      <c r="O34" s="92">
        <f t="shared" si="3"/>
        <v>42246</v>
      </c>
      <c r="P34" s="93"/>
      <c r="Q34" s="94">
        <f t="shared" si="10"/>
        <v>42277</v>
      </c>
      <c r="R34" s="95"/>
      <c r="S34" s="92">
        <f t="shared" si="11"/>
        <v>42307</v>
      </c>
      <c r="T34" s="93"/>
      <c r="U34" s="94">
        <f t="shared" si="15"/>
        <v>42338</v>
      </c>
      <c r="V34" s="95"/>
      <c r="W34" s="92">
        <f t="shared" si="20"/>
        <v>42368</v>
      </c>
      <c r="X34" s="96"/>
      <c r="Y34" s="73"/>
      <c r="Z34" s="72"/>
      <c r="AA34" s="73"/>
      <c r="AB34" s="72"/>
      <c r="AC34" s="72"/>
      <c r="AD34" s="73"/>
      <c r="AE34" s="72"/>
      <c r="AF34" s="72"/>
      <c r="AG34" s="73"/>
      <c r="AH34" s="72"/>
    </row>
    <row r="35" spans="1:34" ht="13.5" customHeight="1">
      <c r="A35" s="94">
        <f t="shared" si="4"/>
        <v>42035</v>
      </c>
      <c r="B35" s="95"/>
      <c r="C35" s="98"/>
      <c r="D35" s="72"/>
      <c r="E35" s="94">
        <f t="shared" si="18"/>
        <v>42094</v>
      </c>
      <c r="F35" s="185">
        <f t="shared" si="19"/>
      </c>
      <c r="G35" s="98"/>
      <c r="H35" s="72"/>
      <c r="I35" s="94">
        <f t="shared" si="2"/>
        <v>42155</v>
      </c>
      <c r="J35" s="184">
        <f t="shared" si="17"/>
      </c>
      <c r="K35" s="72"/>
      <c r="L35" s="72"/>
      <c r="M35" s="94">
        <f t="shared" si="9"/>
        <v>42216</v>
      </c>
      <c r="N35" s="95"/>
      <c r="O35" s="94">
        <f t="shared" si="3"/>
        <v>42247</v>
      </c>
      <c r="P35" s="95"/>
      <c r="Q35" s="98"/>
      <c r="R35" s="72"/>
      <c r="S35" s="158">
        <f t="shared" si="11"/>
        <v>42308</v>
      </c>
      <c r="T35" s="161" t="s">
        <v>62</v>
      </c>
      <c r="U35" s="72"/>
      <c r="V35" s="99"/>
      <c r="W35" s="94">
        <f t="shared" si="20"/>
        <v>42369</v>
      </c>
      <c r="X35" s="166"/>
      <c r="Y35" s="73"/>
      <c r="Z35" s="72"/>
      <c r="AA35" s="73"/>
      <c r="AB35" s="72"/>
      <c r="AC35" s="72"/>
      <c r="AD35" s="73"/>
      <c r="AE35" s="72"/>
      <c r="AF35" s="76"/>
      <c r="AG35" s="73"/>
      <c r="AH35" s="72"/>
    </row>
    <row r="36" spans="3:34" ht="12.75">
      <c r="C36" s="62"/>
      <c r="D36" s="62"/>
      <c r="I36" s="62"/>
      <c r="J36" s="62"/>
      <c r="K36" s="62"/>
      <c r="L36" s="62"/>
      <c r="Q36" s="62"/>
      <c r="R36" s="62"/>
      <c r="U36" s="62"/>
      <c r="V36" s="62"/>
      <c r="W36" s="62"/>
      <c r="AA36" s="69"/>
      <c r="AB36" s="69"/>
      <c r="AC36" s="69"/>
      <c r="AD36" s="69"/>
      <c r="AE36" s="69"/>
      <c r="AF36" s="69"/>
      <c r="AG36" s="69"/>
      <c r="AH36" s="69"/>
    </row>
    <row r="37" spans="27:34" ht="12.75">
      <c r="AA37" s="69"/>
      <c r="AB37" s="69"/>
      <c r="AC37" s="69"/>
      <c r="AD37" s="69"/>
      <c r="AE37" s="69"/>
      <c r="AF37" s="69"/>
      <c r="AG37" s="69"/>
      <c r="AH37" s="69"/>
    </row>
    <row r="38" spans="27:34" ht="12.75">
      <c r="AA38" s="69"/>
      <c r="AB38" s="69"/>
      <c r="AC38" s="69"/>
      <c r="AD38" s="69"/>
      <c r="AE38" s="69"/>
      <c r="AF38" s="69"/>
      <c r="AG38" s="69"/>
      <c r="AH38" s="69"/>
    </row>
    <row r="39" spans="3:34" ht="12.75">
      <c r="C39" s="83" t="s">
        <v>87</v>
      </c>
      <c r="D39" s="84"/>
      <c r="E39" s="85">
        <f>gewJahr</f>
        <v>2015</v>
      </c>
      <c r="AA39" s="69"/>
      <c r="AB39" s="69"/>
      <c r="AC39" s="69"/>
      <c r="AD39" s="69"/>
      <c r="AE39" s="69"/>
      <c r="AF39" s="69"/>
      <c r="AG39" s="69"/>
      <c r="AH39" s="69"/>
    </row>
    <row r="40" spans="2:34" ht="11.25" customHeight="1">
      <c r="B40" s="67"/>
      <c r="C40" s="86" t="str">
        <f>Stammdaten!K11</f>
        <v>Karfreitag</v>
      </c>
      <c r="D40" s="87"/>
      <c r="E40" s="88">
        <f>E41-2</f>
        <v>42097</v>
      </c>
      <c r="AA40" s="69"/>
      <c r="AB40" s="69"/>
      <c r="AC40" s="69"/>
      <c r="AD40" s="69"/>
      <c r="AE40" s="69"/>
      <c r="AF40" s="69"/>
      <c r="AG40" s="69"/>
      <c r="AH40" s="69"/>
    </row>
    <row r="41" spans="2:34" ht="11.25" customHeight="1">
      <c r="B41" s="67"/>
      <c r="C41" s="86" t="str">
        <f>Stammdaten!K12</f>
        <v>Ostersonntag</v>
      </c>
      <c r="D41" s="87"/>
      <c r="E41" s="88">
        <f>Ostern(gewJahr)</f>
        <v>42099</v>
      </c>
      <c r="AA41" s="46"/>
      <c r="AB41" s="46"/>
      <c r="AC41" s="69"/>
      <c r="AD41" s="69"/>
      <c r="AE41" s="69"/>
      <c r="AF41" s="69"/>
      <c r="AG41" s="69"/>
      <c r="AH41" s="69"/>
    </row>
    <row r="42" spans="2:34" ht="11.25" customHeight="1">
      <c r="B42" s="67"/>
      <c r="C42" s="86" t="str">
        <f>Stammdaten!K13</f>
        <v>Ostermontag</v>
      </c>
      <c r="D42" s="87"/>
      <c r="E42" s="88">
        <f>E41+1</f>
        <v>42100</v>
      </c>
      <c r="AA42" s="46"/>
      <c r="AB42" s="46"/>
      <c r="AC42" s="69"/>
      <c r="AD42" s="69"/>
      <c r="AE42" s="69"/>
      <c r="AF42" s="69"/>
      <c r="AG42" s="69"/>
      <c r="AH42" s="69"/>
    </row>
    <row r="43" spans="2:34" ht="11.25" customHeight="1">
      <c r="B43" s="67"/>
      <c r="C43" s="86" t="str">
        <f>Stammdaten!K15</f>
        <v>Chr. Himmelfahrt</v>
      </c>
      <c r="D43" s="87"/>
      <c r="E43" s="88">
        <f>E41+39</f>
        <v>42138</v>
      </c>
      <c r="AA43" s="46"/>
      <c r="AB43" s="46"/>
      <c r="AC43" s="69"/>
      <c r="AD43" s="69"/>
      <c r="AE43" s="69"/>
      <c r="AF43" s="69"/>
      <c r="AG43" s="69"/>
      <c r="AH43" s="69"/>
    </row>
    <row r="44" spans="2:34" ht="11.25" customHeight="1">
      <c r="B44" s="67"/>
      <c r="C44" s="86" t="str">
        <f>Stammdaten!K16</f>
        <v>Pfingstsonntag</v>
      </c>
      <c r="D44" s="87"/>
      <c r="E44" s="88">
        <f>E41+49</f>
        <v>42148</v>
      </c>
      <c r="AA44" s="46"/>
      <c r="AB44" s="46"/>
      <c r="AC44" s="69"/>
      <c r="AD44" s="69"/>
      <c r="AE44" s="69"/>
      <c r="AF44" s="69"/>
      <c r="AG44" s="69"/>
      <c r="AH44" s="69"/>
    </row>
    <row r="45" spans="2:34" ht="11.25" customHeight="1">
      <c r="B45" s="67"/>
      <c r="C45" s="86" t="str">
        <f>Stammdaten!K17</f>
        <v>Pfingstmontag</v>
      </c>
      <c r="D45" s="87"/>
      <c r="E45" s="88">
        <f>E41+50</f>
        <v>42149</v>
      </c>
      <c r="AA45" s="46"/>
      <c r="AB45" s="46"/>
      <c r="AC45" s="69"/>
      <c r="AD45" s="69"/>
      <c r="AE45" s="69"/>
      <c r="AF45" s="69"/>
      <c r="AG45" s="69"/>
      <c r="AH45" s="69"/>
    </row>
    <row r="46" spans="2:34" ht="11.25" customHeight="1">
      <c r="B46" s="67"/>
      <c r="C46" s="89" t="str">
        <f>Stammdaten!K18</f>
        <v>Fronleichnam</v>
      </c>
      <c r="D46" s="90"/>
      <c r="E46" s="91">
        <f>E41+60</f>
        <v>42159</v>
      </c>
      <c r="AA46" s="46"/>
      <c r="AB46" s="46"/>
      <c r="AC46" s="69"/>
      <c r="AD46" s="69"/>
      <c r="AE46" s="69"/>
      <c r="AF46" s="69"/>
      <c r="AG46" s="69"/>
      <c r="AH46" s="69"/>
    </row>
    <row r="47" spans="27:34" ht="12.75">
      <c r="AA47" s="46"/>
      <c r="AB47" s="46"/>
      <c r="AC47" s="69"/>
      <c r="AD47" s="69"/>
      <c r="AE47" s="69"/>
      <c r="AF47" s="69"/>
      <c r="AG47" s="69"/>
      <c r="AH47" s="69"/>
    </row>
    <row r="48" spans="27:34" ht="12.75">
      <c r="AA48" s="46"/>
      <c r="AB48" s="46"/>
      <c r="AC48" s="69"/>
      <c r="AD48" s="69"/>
      <c r="AE48" s="69"/>
      <c r="AF48" s="69"/>
      <c r="AG48" s="69"/>
      <c r="AH48" s="69"/>
    </row>
    <row r="49" spans="27:34" ht="12.75">
      <c r="AA49" s="46"/>
      <c r="AB49" s="46"/>
      <c r="AC49" s="69"/>
      <c r="AD49" s="69"/>
      <c r="AE49" s="69"/>
      <c r="AF49" s="69"/>
      <c r="AG49" s="69"/>
      <c r="AH49" s="69"/>
    </row>
    <row r="50" spans="27:34" ht="12.75">
      <c r="AA50" s="46"/>
      <c r="AB50" s="46"/>
      <c r="AC50" s="69"/>
      <c r="AD50" s="69"/>
      <c r="AE50" s="69"/>
      <c r="AF50" s="69"/>
      <c r="AG50" s="69"/>
      <c r="AH50" s="69"/>
    </row>
    <row r="51" spans="27:34" ht="12.75">
      <c r="AA51" s="46"/>
      <c r="AB51" s="46"/>
      <c r="AC51" s="69"/>
      <c r="AD51" s="69"/>
      <c r="AE51" s="69"/>
      <c r="AF51" s="69"/>
      <c r="AG51" s="69"/>
      <c r="AH51" s="69"/>
    </row>
    <row r="52" spans="27:34" ht="12.75">
      <c r="AA52" s="46"/>
      <c r="AB52" s="46"/>
      <c r="AC52" s="69"/>
      <c r="AD52" s="69"/>
      <c r="AE52" s="69"/>
      <c r="AF52" s="69"/>
      <c r="AG52" s="69"/>
      <c r="AH52" s="69"/>
    </row>
    <row r="53" spans="27:34" ht="12.75">
      <c r="AA53" s="46"/>
      <c r="AB53" s="46"/>
      <c r="AC53" s="69"/>
      <c r="AD53" s="69"/>
      <c r="AE53" s="69"/>
      <c r="AF53" s="69"/>
      <c r="AG53" s="69"/>
      <c r="AH53" s="69"/>
    </row>
    <row r="54" spans="29:34" ht="12.75">
      <c r="AC54" s="69"/>
      <c r="AD54" s="69"/>
      <c r="AE54" s="69"/>
      <c r="AF54" s="69"/>
      <c r="AG54" s="69"/>
      <c r="AH54" s="69"/>
    </row>
    <row r="55" spans="29:34" ht="12.75">
      <c r="AC55" s="69"/>
      <c r="AD55" s="69"/>
      <c r="AE55" s="69"/>
      <c r="AF55" s="69"/>
      <c r="AG55" s="69"/>
      <c r="AH55" s="69"/>
    </row>
    <row r="56" spans="29:34" ht="12.75">
      <c r="AC56" s="69"/>
      <c r="AD56" s="69"/>
      <c r="AE56" s="69"/>
      <c r="AF56" s="69"/>
      <c r="AG56" s="69"/>
      <c r="AH56" s="69"/>
    </row>
    <row r="57" spans="29:34" ht="12.75">
      <c r="AC57" s="69"/>
      <c r="AD57" s="69"/>
      <c r="AE57" s="69"/>
      <c r="AF57" s="69"/>
      <c r="AG57" s="69"/>
      <c r="AH57" s="69"/>
    </row>
    <row r="58" spans="29:34" ht="12.75">
      <c r="AC58" s="69"/>
      <c r="AD58" s="69"/>
      <c r="AE58" s="69"/>
      <c r="AF58" s="69"/>
      <c r="AG58" s="69"/>
      <c r="AH58" s="69"/>
    </row>
    <row r="59" spans="29:34" ht="12.75">
      <c r="AC59" s="69"/>
      <c r="AD59" s="69"/>
      <c r="AE59" s="69"/>
      <c r="AF59" s="69"/>
      <c r="AG59" s="69"/>
      <c r="AH59" s="69"/>
    </row>
    <row r="60" spans="29:34" ht="12.75">
      <c r="AC60" s="69"/>
      <c r="AD60" s="69"/>
      <c r="AE60" s="69"/>
      <c r="AF60" s="69"/>
      <c r="AG60" s="69"/>
      <c r="AH60" s="69"/>
    </row>
    <row r="61" spans="29:34" ht="12.75">
      <c r="AC61" s="69"/>
      <c r="AD61" s="69"/>
      <c r="AE61" s="69"/>
      <c r="AF61" s="69"/>
      <c r="AG61" s="69"/>
      <c r="AH61" s="69"/>
    </row>
    <row r="62" spans="29:34" ht="12.75">
      <c r="AC62" s="69"/>
      <c r="AD62" s="69"/>
      <c r="AE62" s="69"/>
      <c r="AF62" s="69"/>
      <c r="AG62" s="69"/>
      <c r="AH62" s="69"/>
    </row>
    <row r="63" spans="29:34" ht="12.75">
      <c r="AC63" s="69"/>
      <c r="AD63" s="69"/>
      <c r="AE63" s="69"/>
      <c r="AF63" s="69"/>
      <c r="AG63" s="69"/>
      <c r="AH63" s="69"/>
    </row>
    <row r="64" spans="29:34" ht="12.75">
      <c r="AC64" s="69"/>
      <c r="AD64" s="69"/>
      <c r="AE64" s="69"/>
      <c r="AF64" s="69"/>
      <c r="AG64" s="69"/>
      <c r="AH64" s="69"/>
    </row>
    <row r="65" spans="29:34" ht="12.75">
      <c r="AC65" s="69"/>
      <c r="AD65" s="69"/>
      <c r="AE65" s="69"/>
      <c r="AF65" s="69"/>
      <c r="AG65" s="69"/>
      <c r="AH65" s="69"/>
    </row>
    <row r="66" spans="29:34" ht="12.75">
      <c r="AC66" s="69"/>
      <c r="AD66" s="69"/>
      <c r="AE66" s="69"/>
      <c r="AF66" s="69"/>
      <c r="AG66" s="69"/>
      <c r="AH66" s="69"/>
    </row>
    <row r="67" spans="29:34" ht="12.75">
      <c r="AC67" s="69"/>
      <c r="AD67" s="69"/>
      <c r="AE67" s="69"/>
      <c r="AF67" s="69"/>
      <c r="AG67" s="69"/>
      <c r="AH67" s="69"/>
    </row>
    <row r="68" spans="29:34" ht="12.75">
      <c r="AC68" s="69"/>
      <c r="AD68" s="69"/>
      <c r="AE68" s="69"/>
      <c r="AF68" s="69"/>
      <c r="AG68" s="69"/>
      <c r="AH68" s="69"/>
    </row>
    <row r="69" spans="29:34" ht="12.75">
      <c r="AC69" s="69"/>
      <c r="AD69" s="69"/>
      <c r="AE69" s="69"/>
      <c r="AF69" s="69"/>
      <c r="AG69" s="69"/>
      <c r="AH69" s="69"/>
    </row>
    <row r="70" spans="29:34" ht="12.75">
      <c r="AC70" s="69"/>
      <c r="AD70" s="69"/>
      <c r="AE70" s="69"/>
      <c r="AF70" s="69"/>
      <c r="AG70" s="69"/>
      <c r="AH70" s="69"/>
    </row>
    <row r="71" spans="29:34" ht="12.75">
      <c r="AC71" s="69"/>
      <c r="AD71" s="69"/>
      <c r="AE71" s="69"/>
      <c r="AF71" s="69"/>
      <c r="AG71" s="69"/>
      <c r="AH71" s="69"/>
    </row>
    <row r="72" spans="29:34" ht="12.75">
      <c r="AC72" s="69"/>
      <c r="AD72" s="69"/>
      <c r="AE72" s="69"/>
      <c r="AF72" s="69"/>
      <c r="AG72" s="69"/>
      <c r="AH72" s="69"/>
    </row>
    <row r="73" spans="29:34" ht="12.75">
      <c r="AC73" s="69"/>
      <c r="AD73" s="69"/>
      <c r="AE73" s="69"/>
      <c r="AF73" s="69"/>
      <c r="AG73" s="69"/>
      <c r="AH73" s="69"/>
    </row>
    <row r="74" spans="29:34" ht="12.75">
      <c r="AC74" s="69"/>
      <c r="AD74" s="69"/>
      <c r="AE74" s="69"/>
      <c r="AF74" s="69"/>
      <c r="AG74" s="69"/>
      <c r="AH74" s="69"/>
    </row>
    <row r="75" spans="29:34" ht="12.75">
      <c r="AC75" s="69"/>
      <c r="AD75" s="69"/>
      <c r="AE75" s="69"/>
      <c r="AF75" s="69"/>
      <c r="AG75" s="69"/>
      <c r="AH75" s="69"/>
    </row>
    <row r="76" spans="29:34" ht="12.75">
      <c r="AC76" s="69"/>
      <c r="AD76" s="69"/>
      <c r="AE76" s="69"/>
      <c r="AF76" s="69"/>
      <c r="AG76" s="69"/>
      <c r="AH76" s="69"/>
    </row>
    <row r="77" spans="29:34" ht="12.75">
      <c r="AC77" s="69"/>
      <c r="AD77" s="69"/>
      <c r="AE77" s="69"/>
      <c r="AF77" s="69"/>
      <c r="AG77" s="69"/>
      <c r="AH77" s="69"/>
    </row>
    <row r="78" spans="29:34" ht="12.75">
      <c r="AC78" s="69"/>
      <c r="AD78" s="69"/>
      <c r="AE78" s="69"/>
      <c r="AF78" s="69"/>
      <c r="AG78" s="69"/>
      <c r="AH78" s="69"/>
    </row>
    <row r="79" spans="29:34" ht="12.75">
      <c r="AC79" s="69"/>
      <c r="AD79" s="69"/>
      <c r="AE79" s="69"/>
      <c r="AF79" s="69"/>
      <c r="AG79" s="69"/>
      <c r="AH79" s="69"/>
    </row>
    <row r="80" spans="29:34" ht="12.75">
      <c r="AC80" s="69"/>
      <c r="AD80" s="69"/>
      <c r="AE80" s="69"/>
      <c r="AF80" s="69"/>
      <c r="AG80" s="69"/>
      <c r="AH80" s="69"/>
    </row>
    <row r="81" spans="29:34" ht="12.75">
      <c r="AC81" s="69"/>
      <c r="AD81" s="69"/>
      <c r="AE81" s="69"/>
      <c r="AF81" s="69"/>
      <c r="AG81" s="69"/>
      <c r="AH81" s="69"/>
    </row>
    <row r="82" spans="29:34" ht="12.75">
      <c r="AC82" s="69"/>
      <c r="AD82" s="69"/>
      <c r="AE82" s="69"/>
      <c r="AF82" s="69"/>
      <c r="AG82" s="69"/>
      <c r="AH82" s="69"/>
    </row>
    <row r="83" spans="29:34" ht="12.75">
      <c r="AC83" s="69"/>
      <c r="AD83" s="69"/>
      <c r="AE83" s="69"/>
      <c r="AF83" s="69"/>
      <c r="AG83" s="69"/>
      <c r="AH83" s="69"/>
    </row>
    <row r="84" spans="29:34" ht="12.75">
      <c r="AC84" s="69"/>
      <c r="AD84" s="69"/>
      <c r="AE84" s="69"/>
      <c r="AF84" s="69"/>
      <c r="AG84" s="69"/>
      <c r="AH84" s="69"/>
    </row>
    <row r="85" spans="29:34" ht="12.75">
      <c r="AC85" s="69"/>
      <c r="AD85" s="69"/>
      <c r="AE85" s="69"/>
      <c r="AF85" s="69"/>
      <c r="AG85" s="69"/>
      <c r="AH85" s="69"/>
    </row>
    <row r="86" spans="29:34" ht="12.75">
      <c r="AC86" s="69"/>
      <c r="AD86" s="69"/>
      <c r="AE86" s="69"/>
      <c r="AF86" s="69"/>
      <c r="AG86" s="69"/>
      <c r="AH86" s="69"/>
    </row>
    <row r="87" spans="29:34" ht="12.75">
      <c r="AC87" s="69"/>
      <c r="AD87" s="69"/>
      <c r="AE87" s="69"/>
      <c r="AF87" s="69"/>
      <c r="AG87" s="69"/>
      <c r="AH87" s="69"/>
    </row>
    <row r="88" spans="29:34" ht="12.75">
      <c r="AC88" s="69"/>
      <c r="AD88" s="69"/>
      <c r="AE88" s="69"/>
      <c r="AF88" s="69"/>
      <c r="AG88" s="69"/>
      <c r="AH88" s="69"/>
    </row>
    <row r="89" spans="29:34" ht="12.75">
      <c r="AC89" s="69"/>
      <c r="AD89" s="69"/>
      <c r="AE89" s="69"/>
      <c r="AF89" s="69"/>
      <c r="AG89" s="69"/>
      <c r="AH89" s="69"/>
    </row>
    <row r="90" spans="29:34" ht="12.75">
      <c r="AC90" s="69"/>
      <c r="AD90" s="69"/>
      <c r="AE90" s="69"/>
      <c r="AF90" s="69"/>
      <c r="AG90" s="69"/>
      <c r="AH90" s="69"/>
    </row>
    <row r="91" spans="29:34" ht="12.75">
      <c r="AC91" s="69"/>
      <c r="AD91" s="69"/>
      <c r="AE91" s="69"/>
      <c r="AF91" s="69"/>
      <c r="AG91" s="69"/>
      <c r="AH91" s="69"/>
    </row>
    <row r="92" spans="29:34" ht="12.75">
      <c r="AC92" s="69"/>
      <c r="AD92" s="69"/>
      <c r="AE92" s="69"/>
      <c r="AF92" s="69"/>
      <c r="AG92" s="69"/>
      <c r="AH92" s="69"/>
    </row>
    <row r="93" spans="29:34" ht="12.75">
      <c r="AC93" s="69"/>
      <c r="AD93" s="69"/>
      <c r="AE93" s="69"/>
      <c r="AF93" s="69"/>
      <c r="AG93" s="69"/>
      <c r="AH93" s="69"/>
    </row>
    <row r="94" spans="29:34" ht="12.75">
      <c r="AC94" s="69"/>
      <c r="AD94" s="69"/>
      <c r="AE94" s="69"/>
      <c r="AF94" s="69"/>
      <c r="AG94" s="69"/>
      <c r="AH94" s="69"/>
    </row>
    <row r="95" spans="29:34" ht="12.75">
      <c r="AC95" s="69"/>
      <c r="AD95" s="69"/>
      <c r="AE95" s="69"/>
      <c r="AF95" s="69"/>
      <c r="AG95" s="69"/>
      <c r="AH95" s="69"/>
    </row>
    <row r="96" spans="29:34" ht="12.75">
      <c r="AC96" s="69"/>
      <c r="AD96" s="69"/>
      <c r="AE96" s="69"/>
      <c r="AF96" s="69"/>
      <c r="AG96" s="69"/>
      <c r="AH96" s="69"/>
    </row>
    <row r="97" spans="29:34" ht="12.75">
      <c r="AC97" s="69"/>
      <c r="AD97" s="69"/>
      <c r="AE97" s="69"/>
      <c r="AF97" s="69"/>
      <c r="AG97" s="69"/>
      <c r="AH97" s="69"/>
    </row>
    <row r="98" spans="29:34" ht="12.75">
      <c r="AC98" s="69"/>
      <c r="AD98" s="69"/>
      <c r="AE98" s="69"/>
      <c r="AF98" s="69"/>
      <c r="AG98" s="69"/>
      <c r="AH98" s="69"/>
    </row>
    <row r="99" spans="29:34" ht="12.75">
      <c r="AC99" s="69"/>
      <c r="AD99" s="69"/>
      <c r="AE99" s="69"/>
      <c r="AF99" s="69"/>
      <c r="AG99" s="69"/>
      <c r="AH99" s="69"/>
    </row>
    <row r="100" spans="29:34" ht="12.75">
      <c r="AC100" s="69"/>
      <c r="AD100" s="69"/>
      <c r="AE100" s="69"/>
      <c r="AF100" s="69"/>
      <c r="AG100" s="69"/>
      <c r="AH100" s="69"/>
    </row>
    <row r="101" spans="29:34" ht="12.75">
      <c r="AC101" s="69"/>
      <c r="AD101" s="69"/>
      <c r="AE101" s="69"/>
      <c r="AF101" s="69"/>
      <c r="AG101" s="69"/>
      <c r="AH101" s="69"/>
    </row>
    <row r="102" spans="29:34" ht="12.75">
      <c r="AC102" s="69"/>
      <c r="AD102" s="69"/>
      <c r="AE102" s="69"/>
      <c r="AF102" s="69"/>
      <c r="AG102" s="69"/>
      <c r="AH102" s="69"/>
    </row>
    <row r="103" spans="29:34" ht="12.75">
      <c r="AC103" s="69"/>
      <c r="AD103" s="69"/>
      <c r="AE103" s="69"/>
      <c r="AF103" s="69"/>
      <c r="AG103" s="69"/>
      <c r="AH103" s="69"/>
    </row>
    <row r="104" spans="29:34" ht="12.75">
      <c r="AC104" s="69"/>
      <c r="AD104" s="69"/>
      <c r="AE104" s="69"/>
      <c r="AF104" s="69"/>
      <c r="AG104" s="69"/>
      <c r="AH104" s="69"/>
    </row>
    <row r="105" spans="29:34" ht="12.75">
      <c r="AC105" s="69"/>
      <c r="AD105" s="69"/>
      <c r="AE105" s="69"/>
      <c r="AF105" s="69"/>
      <c r="AG105" s="69"/>
      <c r="AH105" s="69"/>
    </row>
    <row r="106" spans="29:34" ht="12.75">
      <c r="AC106" s="69"/>
      <c r="AD106" s="69"/>
      <c r="AE106" s="69"/>
      <c r="AF106" s="69"/>
      <c r="AG106" s="69"/>
      <c r="AH106" s="69"/>
    </row>
    <row r="107" spans="29:34" ht="12.75">
      <c r="AC107" s="69"/>
      <c r="AD107" s="69"/>
      <c r="AE107" s="69"/>
      <c r="AF107" s="69"/>
      <c r="AG107" s="69"/>
      <c r="AH107" s="69"/>
    </row>
    <row r="108" spans="29:34" ht="12.75">
      <c r="AC108" s="69"/>
      <c r="AD108" s="69"/>
      <c r="AE108" s="69"/>
      <c r="AF108" s="69"/>
      <c r="AG108" s="69"/>
      <c r="AH108" s="69"/>
    </row>
    <row r="109" spans="29:34" ht="12.75">
      <c r="AC109" s="69"/>
      <c r="AD109" s="69"/>
      <c r="AE109" s="69"/>
      <c r="AF109" s="69"/>
      <c r="AG109" s="69"/>
      <c r="AH109" s="69"/>
    </row>
    <row r="110" spans="29:34" ht="12.75">
      <c r="AC110" s="69"/>
      <c r="AD110" s="69"/>
      <c r="AE110" s="69"/>
      <c r="AF110" s="69"/>
      <c r="AG110" s="69"/>
      <c r="AH110" s="69"/>
    </row>
    <row r="111" spans="29:34" ht="12.75">
      <c r="AC111" s="69"/>
      <c r="AD111" s="69"/>
      <c r="AE111" s="69"/>
      <c r="AF111" s="69"/>
      <c r="AG111" s="69"/>
      <c r="AH111" s="69"/>
    </row>
    <row r="112" spans="29:34" ht="12.75">
      <c r="AC112" s="69"/>
      <c r="AD112" s="69"/>
      <c r="AE112" s="69"/>
      <c r="AF112" s="69"/>
      <c r="AG112" s="69"/>
      <c r="AH112" s="69"/>
    </row>
    <row r="113" spans="29:34" ht="12.75">
      <c r="AC113" s="69"/>
      <c r="AD113" s="69"/>
      <c r="AE113" s="69"/>
      <c r="AF113" s="69"/>
      <c r="AG113" s="69"/>
      <c r="AH113" s="69"/>
    </row>
    <row r="114" spans="29:34" ht="12.75">
      <c r="AC114" s="69"/>
      <c r="AD114" s="69"/>
      <c r="AE114" s="69"/>
      <c r="AF114" s="69"/>
      <c r="AG114" s="69"/>
      <c r="AH114" s="69"/>
    </row>
    <row r="115" spans="29:34" ht="12.75">
      <c r="AC115" s="69"/>
      <c r="AD115" s="69"/>
      <c r="AE115" s="69"/>
      <c r="AF115" s="69"/>
      <c r="AG115" s="69"/>
      <c r="AH115" s="69"/>
    </row>
    <row r="116" spans="29:34" ht="12.75">
      <c r="AC116" s="69"/>
      <c r="AD116" s="69"/>
      <c r="AE116" s="69"/>
      <c r="AF116" s="69"/>
      <c r="AG116" s="69"/>
      <c r="AH116" s="69"/>
    </row>
    <row r="117" spans="29:34" ht="12.75">
      <c r="AC117" s="69"/>
      <c r="AD117" s="69"/>
      <c r="AE117" s="69"/>
      <c r="AF117" s="69"/>
      <c r="AG117" s="69"/>
      <c r="AH117" s="69"/>
    </row>
    <row r="118" spans="29:34" ht="12.75">
      <c r="AC118" s="69"/>
      <c r="AD118" s="69"/>
      <c r="AE118" s="69"/>
      <c r="AF118" s="69"/>
      <c r="AG118" s="69"/>
      <c r="AH118" s="69"/>
    </row>
    <row r="119" spans="29:34" ht="12.75">
      <c r="AC119" s="69"/>
      <c r="AD119" s="69"/>
      <c r="AE119" s="69"/>
      <c r="AF119" s="69"/>
      <c r="AG119" s="69"/>
      <c r="AH119" s="69"/>
    </row>
    <row r="120" spans="29:34" ht="12.75">
      <c r="AC120" s="69"/>
      <c r="AD120" s="69"/>
      <c r="AE120" s="69"/>
      <c r="AF120" s="69"/>
      <c r="AG120" s="69"/>
      <c r="AH120" s="69"/>
    </row>
    <row r="121" spans="29:34" ht="12.75">
      <c r="AC121" s="69"/>
      <c r="AD121" s="69"/>
      <c r="AE121" s="69"/>
      <c r="AF121" s="69"/>
      <c r="AG121" s="69"/>
      <c r="AH121" s="69"/>
    </row>
    <row r="122" spans="29:34" ht="12.75">
      <c r="AC122" s="69"/>
      <c r="AD122" s="69"/>
      <c r="AE122" s="69"/>
      <c r="AF122" s="69"/>
      <c r="AG122" s="69"/>
      <c r="AH122" s="69"/>
    </row>
    <row r="123" spans="29:34" ht="12.75">
      <c r="AC123" s="69"/>
      <c r="AD123" s="69"/>
      <c r="AE123" s="69"/>
      <c r="AF123" s="69"/>
      <c r="AG123" s="69"/>
      <c r="AH123" s="69"/>
    </row>
    <row r="124" spans="29:34" ht="12.75">
      <c r="AC124" s="69"/>
      <c r="AD124" s="69"/>
      <c r="AE124" s="69"/>
      <c r="AF124" s="69"/>
      <c r="AG124" s="69"/>
      <c r="AH124" s="69"/>
    </row>
    <row r="125" spans="29:34" ht="12.75">
      <c r="AC125" s="69"/>
      <c r="AD125" s="69"/>
      <c r="AE125" s="69"/>
      <c r="AF125" s="69"/>
      <c r="AG125" s="69"/>
      <c r="AH125" s="69"/>
    </row>
    <row r="126" spans="29:34" ht="12.75">
      <c r="AC126" s="69"/>
      <c r="AD126" s="69"/>
      <c r="AE126" s="69"/>
      <c r="AF126" s="69"/>
      <c r="AG126" s="69"/>
      <c r="AH126" s="69"/>
    </row>
    <row r="127" spans="29:34" ht="12.75">
      <c r="AC127" s="69"/>
      <c r="AD127" s="69"/>
      <c r="AE127" s="69"/>
      <c r="AF127" s="69"/>
      <c r="AG127" s="69"/>
      <c r="AH127" s="69"/>
    </row>
    <row r="128" spans="29:34" ht="12.75">
      <c r="AC128" s="69"/>
      <c r="AD128" s="69"/>
      <c r="AE128" s="69"/>
      <c r="AF128" s="69"/>
      <c r="AG128" s="69"/>
      <c r="AH128" s="69"/>
    </row>
    <row r="129" spans="29:34" ht="12.75">
      <c r="AC129" s="69"/>
      <c r="AD129" s="69"/>
      <c r="AE129" s="69"/>
      <c r="AF129" s="69"/>
      <c r="AG129" s="69"/>
      <c r="AH129" s="69"/>
    </row>
    <row r="130" spans="29:34" ht="12.75">
      <c r="AC130" s="69"/>
      <c r="AD130" s="69"/>
      <c r="AE130" s="69"/>
      <c r="AF130" s="69"/>
      <c r="AG130" s="69"/>
      <c r="AH130" s="69"/>
    </row>
    <row r="131" spans="29:34" ht="12.75">
      <c r="AC131" s="69"/>
      <c r="AD131" s="69"/>
      <c r="AE131" s="69"/>
      <c r="AF131" s="69"/>
      <c r="AG131" s="69"/>
      <c r="AH131" s="69"/>
    </row>
    <row r="132" spans="29:34" ht="12.75">
      <c r="AC132" s="69"/>
      <c r="AD132" s="69"/>
      <c r="AE132" s="69"/>
      <c r="AF132" s="69"/>
      <c r="AG132" s="69"/>
      <c r="AH132" s="69"/>
    </row>
    <row r="133" spans="29:34" ht="12.75">
      <c r="AC133" s="69"/>
      <c r="AD133" s="69"/>
      <c r="AE133" s="69"/>
      <c r="AF133" s="69"/>
      <c r="AG133" s="69"/>
      <c r="AH133" s="69"/>
    </row>
    <row r="134" spans="29:34" ht="12.75">
      <c r="AC134" s="69"/>
      <c r="AD134" s="69"/>
      <c r="AE134" s="69"/>
      <c r="AF134" s="69"/>
      <c r="AG134" s="69"/>
      <c r="AH134" s="69"/>
    </row>
    <row r="135" spans="29:34" ht="12.75">
      <c r="AC135" s="69"/>
      <c r="AD135" s="69"/>
      <c r="AE135" s="69"/>
      <c r="AF135" s="69"/>
      <c r="AG135" s="69"/>
      <c r="AH135" s="69"/>
    </row>
    <row r="136" spans="29:34" ht="12.75">
      <c r="AC136" s="69"/>
      <c r="AD136" s="69"/>
      <c r="AE136" s="69"/>
      <c r="AF136" s="69"/>
      <c r="AG136" s="69"/>
      <c r="AH136" s="69"/>
    </row>
    <row r="137" spans="29:34" ht="12.75">
      <c r="AC137" s="69"/>
      <c r="AD137" s="69"/>
      <c r="AE137" s="69"/>
      <c r="AF137" s="69"/>
      <c r="AG137" s="69"/>
      <c r="AH137" s="69"/>
    </row>
    <row r="138" spans="29:34" ht="12.75">
      <c r="AC138" s="69"/>
      <c r="AD138" s="69"/>
      <c r="AE138" s="69"/>
      <c r="AF138" s="69"/>
      <c r="AG138" s="69"/>
      <c r="AH138" s="69"/>
    </row>
    <row r="139" spans="29:34" ht="12.75">
      <c r="AC139" s="69"/>
      <c r="AD139" s="69"/>
      <c r="AE139" s="69"/>
      <c r="AF139" s="69"/>
      <c r="AG139" s="69"/>
      <c r="AH139" s="69"/>
    </row>
    <row r="140" spans="29:34" ht="12.75">
      <c r="AC140" s="69"/>
      <c r="AD140" s="69"/>
      <c r="AE140" s="69"/>
      <c r="AF140" s="69"/>
      <c r="AG140" s="69"/>
      <c r="AH140" s="69"/>
    </row>
    <row r="141" spans="29:34" ht="12.75">
      <c r="AC141" s="69"/>
      <c r="AD141" s="69"/>
      <c r="AE141" s="69"/>
      <c r="AF141" s="69"/>
      <c r="AG141" s="69"/>
      <c r="AH141" s="69"/>
    </row>
    <row r="142" spans="29:34" ht="12.75">
      <c r="AC142" s="69"/>
      <c r="AD142" s="69"/>
      <c r="AE142" s="69"/>
      <c r="AF142" s="69"/>
      <c r="AG142" s="69"/>
      <c r="AH142" s="69"/>
    </row>
    <row r="143" spans="29:34" ht="12.75">
      <c r="AC143" s="69"/>
      <c r="AD143" s="69"/>
      <c r="AE143" s="69"/>
      <c r="AF143" s="69"/>
      <c r="AG143" s="69"/>
      <c r="AH143" s="69"/>
    </row>
    <row r="144" spans="29:34" ht="12.75">
      <c r="AC144" s="69"/>
      <c r="AD144" s="69"/>
      <c r="AE144" s="69"/>
      <c r="AF144" s="69"/>
      <c r="AG144" s="69"/>
      <c r="AH144" s="69"/>
    </row>
    <row r="145" spans="29:34" ht="12.75">
      <c r="AC145" s="69"/>
      <c r="AD145" s="69"/>
      <c r="AE145" s="69"/>
      <c r="AF145" s="69"/>
      <c r="AG145" s="69"/>
      <c r="AH145" s="69"/>
    </row>
    <row r="146" spans="29:34" ht="12.75">
      <c r="AC146" s="69"/>
      <c r="AD146" s="69"/>
      <c r="AE146" s="69"/>
      <c r="AF146" s="69"/>
      <c r="AG146" s="69"/>
      <c r="AH146" s="69"/>
    </row>
    <row r="147" spans="29:34" ht="12.75">
      <c r="AC147" s="69"/>
      <c r="AD147" s="69"/>
      <c r="AE147" s="69"/>
      <c r="AF147" s="69"/>
      <c r="AG147" s="69"/>
      <c r="AH147" s="69"/>
    </row>
    <row r="148" spans="29:34" ht="12.75">
      <c r="AC148" s="69"/>
      <c r="AD148" s="69"/>
      <c r="AE148" s="69"/>
      <c r="AF148" s="69"/>
      <c r="AG148" s="69"/>
      <c r="AH148" s="69"/>
    </row>
    <row r="149" spans="29:34" ht="12.75">
      <c r="AC149" s="69"/>
      <c r="AD149" s="69"/>
      <c r="AE149" s="69"/>
      <c r="AF149" s="69"/>
      <c r="AG149" s="69"/>
      <c r="AH149" s="69"/>
    </row>
    <row r="150" spans="29:34" ht="12.75">
      <c r="AC150" s="69"/>
      <c r="AD150" s="69"/>
      <c r="AE150" s="69"/>
      <c r="AF150" s="69"/>
      <c r="AG150" s="69"/>
      <c r="AH150" s="69"/>
    </row>
    <row r="151" spans="29:34" ht="12.75">
      <c r="AC151" s="69"/>
      <c r="AD151" s="69"/>
      <c r="AE151" s="69"/>
      <c r="AF151" s="69"/>
      <c r="AG151" s="69"/>
      <c r="AH151" s="69"/>
    </row>
    <row r="152" spans="29:34" ht="12.75">
      <c r="AC152" s="69"/>
      <c r="AD152" s="69"/>
      <c r="AE152" s="69"/>
      <c r="AF152" s="69"/>
      <c r="AG152" s="69"/>
      <c r="AH152" s="69"/>
    </row>
    <row r="153" spans="29:34" ht="12.75">
      <c r="AC153" s="69"/>
      <c r="AD153" s="69"/>
      <c r="AE153" s="69"/>
      <c r="AF153" s="69"/>
      <c r="AG153" s="69"/>
      <c r="AH153" s="69"/>
    </row>
    <row r="154" spans="29:34" ht="12.75">
      <c r="AC154" s="69"/>
      <c r="AD154" s="69"/>
      <c r="AE154" s="69"/>
      <c r="AF154" s="69"/>
      <c r="AG154" s="69"/>
      <c r="AH154" s="69"/>
    </row>
    <row r="155" spans="29:34" ht="12.75">
      <c r="AC155" s="69"/>
      <c r="AD155" s="69"/>
      <c r="AE155" s="69"/>
      <c r="AF155" s="69"/>
      <c r="AG155" s="69"/>
      <c r="AH155" s="69"/>
    </row>
    <row r="156" spans="29:34" ht="12.75">
      <c r="AC156" s="69"/>
      <c r="AD156" s="69"/>
      <c r="AE156" s="69"/>
      <c r="AF156" s="69"/>
      <c r="AG156" s="69"/>
      <c r="AH156" s="69"/>
    </row>
    <row r="157" spans="29:34" ht="12.75">
      <c r="AC157" s="69"/>
      <c r="AD157" s="69"/>
      <c r="AE157" s="69"/>
      <c r="AF157" s="69"/>
      <c r="AG157" s="69"/>
      <c r="AH157" s="69"/>
    </row>
    <row r="158" spans="29:34" ht="12.75">
      <c r="AC158" s="69"/>
      <c r="AD158" s="69"/>
      <c r="AE158" s="69"/>
      <c r="AF158" s="69"/>
      <c r="AG158" s="69"/>
      <c r="AH158" s="69"/>
    </row>
    <row r="159" spans="29:34" ht="12.75">
      <c r="AC159" s="69"/>
      <c r="AD159" s="69"/>
      <c r="AE159" s="69"/>
      <c r="AF159" s="69"/>
      <c r="AG159" s="69"/>
      <c r="AH159" s="69"/>
    </row>
    <row r="160" spans="29:34" ht="12.75">
      <c r="AC160" s="69"/>
      <c r="AD160" s="69"/>
      <c r="AE160" s="69"/>
      <c r="AF160" s="69"/>
      <c r="AG160" s="69"/>
      <c r="AH160" s="69"/>
    </row>
    <row r="161" spans="29:34" ht="12.75">
      <c r="AC161" s="69"/>
      <c r="AD161" s="69"/>
      <c r="AE161" s="69"/>
      <c r="AF161" s="69"/>
      <c r="AG161" s="69"/>
      <c r="AH161" s="69"/>
    </row>
    <row r="162" spans="29:34" ht="12.75">
      <c r="AC162" s="69"/>
      <c r="AD162" s="69"/>
      <c r="AE162" s="69"/>
      <c r="AF162" s="69"/>
      <c r="AG162" s="69"/>
      <c r="AH162" s="69"/>
    </row>
    <row r="163" spans="29:34" ht="12.75">
      <c r="AC163" s="69"/>
      <c r="AD163" s="69"/>
      <c r="AE163" s="69"/>
      <c r="AF163" s="69"/>
      <c r="AG163" s="69"/>
      <c r="AH163" s="69"/>
    </row>
    <row r="164" spans="29:34" ht="12.75">
      <c r="AC164" s="69"/>
      <c r="AD164" s="69"/>
      <c r="AE164" s="69"/>
      <c r="AF164" s="69"/>
      <c r="AG164" s="69"/>
      <c r="AH164" s="69"/>
    </row>
    <row r="165" spans="29:34" ht="12.75">
      <c r="AC165" s="69"/>
      <c r="AD165" s="69"/>
      <c r="AE165" s="69"/>
      <c r="AF165" s="69"/>
      <c r="AG165" s="69"/>
      <c r="AH165" s="69"/>
    </row>
    <row r="166" spans="29:34" ht="12.75">
      <c r="AC166" s="69"/>
      <c r="AD166" s="69"/>
      <c r="AE166" s="69"/>
      <c r="AF166" s="69"/>
      <c r="AG166" s="69"/>
      <c r="AH166" s="69"/>
    </row>
    <row r="167" spans="29:34" ht="12.75">
      <c r="AC167" s="69"/>
      <c r="AD167" s="69"/>
      <c r="AE167" s="69"/>
      <c r="AF167" s="69"/>
      <c r="AG167" s="69"/>
      <c r="AH167" s="69"/>
    </row>
    <row r="168" spans="29:34" ht="12.75">
      <c r="AC168" s="69"/>
      <c r="AD168" s="69"/>
      <c r="AE168" s="69"/>
      <c r="AF168" s="69"/>
      <c r="AG168" s="69"/>
      <c r="AH168" s="69"/>
    </row>
    <row r="169" spans="29:34" ht="12.75">
      <c r="AC169" s="69"/>
      <c r="AD169" s="69"/>
      <c r="AE169" s="69"/>
      <c r="AF169" s="69"/>
      <c r="AG169" s="69"/>
      <c r="AH169" s="69"/>
    </row>
    <row r="170" spans="29:34" ht="12.75">
      <c r="AC170" s="69"/>
      <c r="AD170" s="69"/>
      <c r="AE170" s="69"/>
      <c r="AF170" s="69"/>
      <c r="AG170" s="69"/>
      <c r="AH170" s="69"/>
    </row>
    <row r="171" spans="29:34" ht="12.75">
      <c r="AC171" s="69"/>
      <c r="AD171" s="69"/>
      <c r="AE171" s="69"/>
      <c r="AF171" s="69"/>
      <c r="AG171" s="69"/>
      <c r="AH171" s="69"/>
    </row>
    <row r="172" spans="29:34" ht="12.75">
      <c r="AC172" s="69"/>
      <c r="AD172" s="69"/>
      <c r="AE172" s="69"/>
      <c r="AF172" s="69"/>
      <c r="AG172" s="69"/>
      <c r="AH172" s="69"/>
    </row>
    <row r="173" spans="29:34" ht="12.75">
      <c r="AC173" s="69"/>
      <c r="AD173" s="69"/>
      <c r="AE173" s="69"/>
      <c r="AF173" s="69"/>
      <c r="AG173" s="69"/>
      <c r="AH173" s="69"/>
    </row>
    <row r="174" spans="29:34" ht="12.75">
      <c r="AC174" s="69"/>
      <c r="AD174" s="69"/>
      <c r="AE174" s="69"/>
      <c r="AF174" s="69"/>
      <c r="AG174" s="69"/>
      <c r="AH174" s="69"/>
    </row>
    <row r="175" spans="29:34" ht="12.75">
      <c r="AC175" s="69"/>
      <c r="AD175" s="69"/>
      <c r="AE175" s="69"/>
      <c r="AF175" s="69"/>
      <c r="AG175" s="69"/>
      <c r="AH175" s="69"/>
    </row>
    <row r="176" spans="29:34" ht="12.75">
      <c r="AC176" s="69"/>
      <c r="AD176" s="69"/>
      <c r="AE176" s="69"/>
      <c r="AF176" s="69"/>
      <c r="AG176" s="69"/>
      <c r="AH176" s="69"/>
    </row>
    <row r="177" spans="29:34" ht="12.75">
      <c r="AC177" s="69"/>
      <c r="AD177" s="69"/>
      <c r="AE177" s="69"/>
      <c r="AF177" s="69"/>
      <c r="AG177" s="69"/>
      <c r="AH177" s="69"/>
    </row>
    <row r="178" spans="29:34" ht="12.75">
      <c r="AC178" s="69"/>
      <c r="AD178" s="69"/>
      <c r="AE178" s="69"/>
      <c r="AF178" s="69"/>
      <c r="AG178" s="69"/>
      <c r="AH178" s="69"/>
    </row>
    <row r="179" spans="29:34" ht="12.75">
      <c r="AC179" s="69"/>
      <c r="AD179" s="69"/>
      <c r="AE179" s="69"/>
      <c r="AF179" s="69"/>
      <c r="AG179" s="69"/>
      <c r="AH179" s="69"/>
    </row>
    <row r="180" spans="29:34" ht="12.75">
      <c r="AC180" s="69"/>
      <c r="AD180" s="69"/>
      <c r="AE180" s="69"/>
      <c r="AF180" s="69"/>
      <c r="AG180" s="69"/>
      <c r="AH180" s="69"/>
    </row>
    <row r="181" spans="29:34" ht="12.75">
      <c r="AC181" s="69"/>
      <c r="AD181" s="69"/>
      <c r="AE181" s="69"/>
      <c r="AF181" s="69"/>
      <c r="AG181" s="69"/>
      <c r="AH181" s="69"/>
    </row>
    <row r="182" spans="29:34" ht="12.75">
      <c r="AC182" s="69"/>
      <c r="AD182" s="69"/>
      <c r="AE182" s="69"/>
      <c r="AF182" s="69"/>
      <c r="AG182" s="69"/>
      <c r="AH182" s="69"/>
    </row>
    <row r="183" spans="29:34" ht="12.75">
      <c r="AC183" s="69"/>
      <c r="AD183" s="69"/>
      <c r="AE183" s="69"/>
      <c r="AF183" s="69"/>
      <c r="AG183" s="69"/>
      <c r="AH183" s="69"/>
    </row>
    <row r="184" spans="29:34" ht="12.75">
      <c r="AC184" s="69"/>
      <c r="AD184" s="69"/>
      <c r="AE184" s="69"/>
      <c r="AF184" s="69"/>
      <c r="AG184" s="69"/>
      <c r="AH184" s="69"/>
    </row>
    <row r="185" spans="29:34" ht="12.75">
      <c r="AC185" s="69"/>
      <c r="AD185" s="69"/>
      <c r="AE185" s="69"/>
      <c r="AF185" s="69"/>
      <c r="AG185" s="69"/>
      <c r="AH185" s="69"/>
    </row>
    <row r="186" spans="29:34" ht="12.75">
      <c r="AC186" s="69"/>
      <c r="AD186" s="69"/>
      <c r="AE186" s="69"/>
      <c r="AF186" s="69"/>
      <c r="AG186" s="69"/>
      <c r="AH186" s="69"/>
    </row>
    <row r="187" spans="29:34" ht="12.75">
      <c r="AC187" s="69"/>
      <c r="AD187" s="69"/>
      <c r="AE187" s="69"/>
      <c r="AF187" s="69"/>
      <c r="AG187" s="69"/>
      <c r="AH187" s="69"/>
    </row>
    <row r="188" spans="29:34" ht="12.75">
      <c r="AC188" s="69"/>
      <c r="AD188" s="69"/>
      <c r="AE188" s="69"/>
      <c r="AF188" s="69"/>
      <c r="AG188" s="69"/>
      <c r="AH188" s="69"/>
    </row>
    <row r="189" spans="29:34" ht="12.75">
      <c r="AC189" s="69"/>
      <c r="AD189" s="69"/>
      <c r="AE189" s="69"/>
      <c r="AF189" s="69"/>
      <c r="AG189" s="69"/>
      <c r="AH189" s="69"/>
    </row>
    <row r="190" spans="29:34" ht="12.75">
      <c r="AC190" s="69"/>
      <c r="AD190" s="69"/>
      <c r="AE190" s="69"/>
      <c r="AF190" s="69"/>
      <c r="AG190" s="69"/>
      <c r="AH190" s="69"/>
    </row>
    <row r="191" spans="29:34" ht="12.75">
      <c r="AC191" s="69"/>
      <c r="AD191" s="69"/>
      <c r="AE191" s="69"/>
      <c r="AF191" s="69"/>
      <c r="AG191" s="69"/>
      <c r="AH191" s="69"/>
    </row>
    <row r="192" spans="29:34" ht="12.75">
      <c r="AC192" s="69"/>
      <c r="AD192" s="69"/>
      <c r="AE192" s="69"/>
      <c r="AF192" s="69"/>
      <c r="AG192" s="69"/>
      <c r="AH192" s="69"/>
    </row>
    <row r="193" spans="29:34" ht="12.75">
      <c r="AC193" s="69"/>
      <c r="AD193" s="69"/>
      <c r="AE193" s="69"/>
      <c r="AF193" s="69"/>
      <c r="AG193" s="69"/>
      <c r="AH193" s="69"/>
    </row>
    <row r="194" spans="29:34" ht="12.75">
      <c r="AC194" s="69"/>
      <c r="AD194" s="69"/>
      <c r="AE194" s="69"/>
      <c r="AF194" s="69"/>
      <c r="AG194" s="69"/>
      <c r="AH194" s="69"/>
    </row>
    <row r="195" spans="29:34" ht="12.75">
      <c r="AC195" s="69"/>
      <c r="AD195" s="69"/>
      <c r="AE195" s="69"/>
      <c r="AF195" s="69"/>
      <c r="AG195" s="69"/>
      <c r="AH195" s="69"/>
    </row>
    <row r="196" spans="29:34" ht="12.75">
      <c r="AC196" s="69"/>
      <c r="AD196" s="69"/>
      <c r="AE196" s="69"/>
      <c r="AF196" s="69"/>
      <c r="AG196" s="69"/>
      <c r="AH196" s="69"/>
    </row>
    <row r="197" spans="29:34" ht="12.75">
      <c r="AC197" s="69"/>
      <c r="AD197" s="69"/>
      <c r="AE197" s="69"/>
      <c r="AF197" s="69"/>
      <c r="AG197" s="69"/>
      <c r="AH197" s="69"/>
    </row>
    <row r="198" spans="29:34" ht="12.75">
      <c r="AC198" s="69"/>
      <c r="AD198" s="69"/>
      <c r="AE198" s="69"/>
      <c r="AF198" s="69"/>
      <c r="AG198" s="69"/>
      <c r="AH198" s="69"/>
    </row>
    <row r="199" spans="29:34" ht="12.75">
      <c r="AC199" s="69"/>
      <c r="AD199" s="69"/>
      <c r="AE199" s="69"/>
      <c r="AF199" s="69"/>
      <c r="AG199" s="69"/>
      <c r="AH199" s="69"/>
    </row>
    <row r="200" spans="29:34" ht="12.75">
      <c r="AC200" s="69"/>
      <c r="AD200" s="69"/>
      <c r="AE200" s="69"/>
      <c r="AF200" s="69"/>
      <c r="AG200" s="69"/>
      <c r="AH200" s="69"/>
    </row>
    <row r="201" spans="29:34" ht="12.75">
      <c r="AC201" s="69"/>
      <c r="AD201" s="69"/>
      <c r="AE201" s="69"/>
      <c r="AF201" s="69"/>
      <c r="AG201" s="69"/>
      <c r="AH201" s="69"/>
    </row>
    <row r="202" spans="29:34" ht="12.75">
      <c r="AC202" s="69"/>
      <c r="AD202" s="69"/>
      <c r="AE202" s="69"/>
      <c r="AF202" s="69"/>
      <c r="AG202" s="69"/>
      <c r="AH202" s="69"/>
    </row>
    <row r="203" spans="29:34" ht="12.75">
      <c r="AC203" s="69"/>
      <c r="AD203" s="69"/>
      <c r="AE203" s="69"/>
      <c r="AF203" s="69"/>
      <c r="AG203" s="69"/>
      <c r="AH203" s="69"/>
    </row>
    <row r="204" spans="29:34" ht="12.75">
      <c r="AC204" s="69"/>
      <c r="AD204" s="69"/>
      <c r="AE204" s="69"/>
      <c r="AF204" s="69"/>
      <c r="AG204" s="69"/>
      <c r="AH204" s="69"/>
    </row>
    <row r="205" spans="29:34" ht="12.75">
      <c r="AC205" s="69"/>
      <c r="AD205" s="69"/>
      <c r="AE205" s="69"/>
      <c r="AF205" s="69"/>
      <c r="AG205" s="69"/>
      <c r="AH205" s="69"/>
    </row>
    <row r="206" spans="29:34" ht="12.75">
      <c r="AC206" s="69"/>
      <c r="AD206" s="69"/>
      <c r="AE206" s="69"/>
      <c r="AF206" s="69"/>
      <c r="AG206" s="69"/>
      <c r="AH206" s="69"/>
    </row>
    <row r="207" spans="29:34" ht="12.75">
      <c r="AC207" s="69"/>
      <c r="AD207" s="69"/>
      <c r="AE207" s="69"/>
      <c r="AF207" s="69"/>
      <c r="AG207" s="69"/>
      <c r="AH207" s="69"/>
    </row>
    <row r="208" spans="29:34" ht="12.75">
      <c r="AC208" s="69"/>
      <c r="AD208" s="69"/>
      <c r="AE208" s="69"/>
      <c r="AF208" s="69"/>
      <c r="AG208" s="69"/>
      <c r="AH208" s="69"/>
    </row>
    <row r="209" spans="29:34" ht="12.75">
      <c r="AC209" s="69"/>
      <c r="AD209" s="69"/>
      <c r="AE209" s="69"/>
      <c r="AF209" s="69"/>
      <c r="AG209" s="69"/>
      <c r="AH209" s="69"/>
    </row>
    <row r="210" spans="29:34" ht="12.75">
      <c r="AC210" s="69"/>
      <c r="AD210" s="69"/>
      <c r="AE210" s="69"/>
      <c r="AF210" s="69"/>
      <c r="AG210" s="69"/>
      <c r="AH210" s="69"/>
    </row>
    <row r="211" spans="29:34" ht="12.75">
      <c r="AC211" s="69"/>
      <c r="AD211" s="69"/>
      <c r="AE211" s="69"/>
      <c r="AF211" s="69"/>
      <c r="AG211" s="69"/>
      <c r="AH211" s="69"/>
    </row>
    <row r="212" spans="29:34" ht="12.75">
      <c r="AC212" s="69"/>
      <c r="AD212" s="69"/>
      <c r="AE212" s="69"/>
      <c r="AF212" s="69"/>
      <c r="AG212" s="69"/>
      <c r="AH212" s="69"/>
    </row>
    <row r="213" spans="29:34" ht="12.75">
      <c r="AC213" s="69"/>
      <c r="AD213" s="69"/>
      <c r="AE213" s="69"/>
      <c r="AF213" s="69"/>
      <c r="AG213" s="69"/>
      <c r="AH213" s="69"/>
    </row>
    <row r="214" spans="29:34" ht="12.75">
      <c r="AC214" s="69"/>
      <c r="AD214" s="69"/>
      <c r="AE214" s="69"/>
      <c r="AF214" s="69"/>
      <c r="AG214" s="69"/>
      <c r="AH214" s="69"/>
    </row>
    <row r="215" spans="29:34" ht="12.75">
      <c r="AC215" s="69"/>
      <c r="AD215" s="69"/>
      <c r="AE215" s="69"/>
      <c r="AF215" s="69"/>
      <c r="AG215" s="69"/>
      <c r="AH215" s="69"/>
    </row>
    <row r="216" spans="29:34" ht="12.75">
      <c r="AC216" s="69"/>
      <c r="AD216" s="69"/>
      <c r="AE216" s="69"/>
      <c r="AF216" s="69"/>
      <c r="AG216" s="69"/>
      <c r="AH216" s="69"/>
    </row>
    <row r="217" spans="29:34" ht="12.75">
      <c r="AC217" s="69"/>
      <c r="AD217" s="69"/>
      <c r="AE217" s="69"/>
      <c r="AF217" s="69"/>
      <c r="AG217" s="69"/>
      <c r="AH217" s="69"/>
    </row>
    <row r="218" spans="29:34" ht="12.75">
      <c r="AC218" s="69"/>
      <c r="AD218" s="69"/>
      <c r="AE218" s="69"/>
      <c r="AF218" s="69"/>
      <c r="AG218" s="69"/>
      <c r="AH218" s="69"/>
    </row>
    <row r="219" spans="29:34" ht="12.75">
      <c r="AC219" s="69"/>
      <c r="AD219" s="69"/>
      <c r="AE219" s="69"/>
      <c r="AF219" s="69"/>
      <c r="AG219" s="69"/>
      <c r="AH219" s="69"/>
    </row>
    <row r="220" spans="29:34" ht="12.75">
      <c r="AC220" s="69"/>
      <c r="AD220" s="69"/>
      <c r="AE220" s="69"/>
      <c r="AF220" s="69"/>
      <c r="AG220" s="69"/>
      <c r="AH220" s="69"/>
    </row>
    <row r="221" spans="29:34" ht="12.75">
      <c r="AC221" s="69"/>
      <c r="AD221" s="69"/>
      <c r="AE221" s="69"/>
      <c r="AF221" s="69"/>
      <c r="AG221" s="69"/>
      <c r="AH221" s="69"/>
    </row>
    <row r="222" spans="29:34" ht="12.75">
      <c r="AC222" s="69"/>
      <c r="AD222" s="69"/>
      <c r="AE222" s="69"/>
      <c r="AF222" s="69"/>
      <c r="AG222" s="69"/>
      <c r="AH222" s="69"/>
    </row>
    <row r="223" spans="29:34" ht="12.75">
      <c r="AC223" s="69"/>
      <c r="AD223" s="69"/>
      <c r="AE223" s="69"/>
      <c r="AF223" s="69"/>
      <c r="AG223" s="69"/>
      <c r="AH223" s="69"/>
    </row>
    <row r="224" spans="29:34" ht="12.75">
      <c r="AC224" s="69"/>
      <c r="AD224" s="69"/>
      <c r="AE224" s="69"/>
      <c r="AF224" s="69"/>
      <c r="AG224" s="69"/>
      <c r="AH224" s="69"/>
    </row>
    <row r="225" spans="29:34" ht="12.75">
      <c r="AC225" s="69"/>
      <c r="AD225" s="69"/>
      <c r="AE225" s="69"/>
      <c r="AF225" s="69"/>
      <c r="AG225" s="69"/>
      <c r="AH225" s="69"/>
    </row>
    <row r="226" spans="29:34" ht="12.75">
      <c r="AC226" s="69"/>
      <c r="AD226" s="69"/>
      <c r="AE226" s="69"/>
      <c r="AF226" s="69"/>
      <c r="AG226" s="69"/>
      <c r="AH226" s="69"/>
    </row>
    <row r="227" spans="29:34" ht="12.75">
      <c r="AC227" s="69"/>
      <c r="AD227" s="69"/>
      <c r="AE227" s="69"/>
      <c r="AF227" s="69"/>
      <c r="AG227" s="69"/>
      <c r="AH227" s="69"/>
    </row>
    <row r="228" spans="29:34" ht="12.75">
      <c r="AC228" s="69"/>
      <c r="AD228" s="69"/>
      <c r="AE228" s="69"/>
      <c r="AF228" s="69"/>
      <c r="AG228" s="69"/>
      <c r="AH228" s="69"/>
    </row>
    <row r="229" spans="29:34" ht="12.75">
      <c r="AC229" s="69"/>
      <c r="AD229" s="69"/>
      <c r="AE229" s="69"/>
      <c r="AF229" s="69"/>
      <c r="AG229" s="69"/>
      <c r="AH229" s="69"/>
    </row>
    <row r="230" spans="29:34" ht="12.75">
      <c r="AC230" s="69"/>
      <c r="AD230" s="69"/>
      <c r="AE230" s="69"/>
      <c r="AF230" s="69"/>
      <c r="AG230" s="69"/>
      <c r="AH230" s="69"/>
    </row>
    <row r="231" spans="29:34" ht="12.75">
      <c r="AC231" s="69"/>
      <c r="AD231" s="69"/>
      <c r="AE231" s="69"/>
      <c r="AF231" s="69"/>
      <c r="AG231" s="69"/>
      <c r="AH231" s="69"/>
    </row>
    <row r="232" spans="29:34" ht="12.75">
      <c r="AC232" s="69"/>
      <c r="AD232" s="69"/>
      <c r="AE232" s="69"/>
      <c r="AF232" s="69"/>
      <c r="AG232" s="69"/>
      <c r="AH232" s="69"/>
    </row>
    <row r="233" spans="29:34" ht="12.75">
      <c r="AC233" s="69"/>
      <c r="AD233" s="69"/>
      <c r="AE233" s="69"/>
      <c r="AF233" s="69"/>
      <c r="AG233" s="69"/>
      <c r="AH233" s="69"/>
    </row>
    <row r="234" spans="29:34" ht="12.75">
      <c r="AC234" s="69"/>
      <c r="AD234" s="69"/>
      <c r="AE234" s="69"/>
      <c r="AF234" s="69"/>
      <c r="AG234" s="69"/>
      <c r="AH234" s="69"/>
    </row>
    <row r="235" spans="29:34" ht="12.75">
      <c r="AC235" s="69"/>
      <c r="AD235" s="69"/>
      <c r="AE235" s="69"/>
      <c r="AF235" s="69"/>
      <c r="AG235" s="69"/>
      <c r="AH235" s="69"/>
    </row>
    <row r="236" spans="29:34" ht="12.75">
      <c r="AC236" s="69"/>
      <c r="AD236" s="69"/>
      <c r="AE236" s="69"/>
      <c r="AF236" s="69"/>
      <c r="AG236" s="69"/>
      <c r="AH236" s="69"/>
    </row>
    <row r="237" spans="29:34" ht="12.75">
      <c r="AC237" s="69"/>
      <c r="AD237" s="69"/>
      <c r="AE237" s="69"/>
      <c r="AF237" s="69"/>
      <c r="AG237" s="69"/>
      <c r="AH237" s="69"/>
    </row>
    <row r="238" spans="29:34" ht="12.75">
      <c r="AC238" s="69"/>
      <c r="AD238" s="69"/>
      <c r="AE238" s="69"/>
      <c r="AF238" s="69"/>
      <c r="AG238" s="69"/>
      <c r="AH238" s="69"/>
    </row>
    <row r="239" spans="29:34" ht="12.75">
      <c r="AC239" s="69"/>
      <c r="AD239" s="69"/>
      <c r="AE239" s="69"/>
      <c r="AF239" s="69"/>
      <c r="AG239" s="69"/>
      <c r="AH239" s="69"/>
    </row>
    <row r="240" spans="29:34" ht="12.75">
      <c r="AC240" s="69"/>
      <c r="AD240" s="69"/>
      <c r="AE240" s="69"/>
      <c r="AF240" s="69"/>
      <c r="AG240" s="69"/>
      <c r="AH240" s="69"/>
    </row>
    <row r="241" spans="29:34" ht="12.75">
      <c r="AC241" s="69"/>
      <c r="AD241" s="69"/>
      <c r="AE241" s="69"/>
      <c r="AF241" s="69"/>
      <c r="AG241" s="69"/>
      <c r="AH241" s="69"/>
    </row>
    <row r="242" spans="29:34" ht="12.75">
      <c r="AC242" s="69"/>
      <c r="AD242" s="69"/>
      <c r="AE242" s="69"/>
      <c r="AF242" s="69"/>
      <c r="AG242" s="69"/>
      <c r="AH242" s="69"/>
    </row>
    <row r="243" spans="29:34" ht="12.75">
      <c r="AC243" s="69"/>
      <c r="AD243" s="69"/>
      <c r="AE243" s="69"/>
      <c r="AF243" s="69"/>
      <c r="AG243" s="69"/>
      <c r="AH243" s="69"/>
    </row>
    <row r="244" spans="29:34" ht="12.75">
      <c r="AC244" s="69"/>
      <c r="AD244" s="69"/>
      <c r="AE244" s="69"/>
      <c r="AF244" s="69"/>
      <c r="AG244" s="69"/>
      <c r="AH244" s="69"/>
    </row>
    <row r="245" spans="29:34" ht="12.75">
      <c r="AC245" s="69"/>
      <c r="AD245" s="69"/>
      <c r="AE245" s="69"/>
      <c r="AF245" s="69"/>
      <c r="AG245" s="69"/>
      <c r="AH245" s="69"/>
    </row>
    <row r="246" spans="29:34" ht="12.75">
      <c r="AC246" s="69"/>
      <c r="AD246" s="69"/>
      <c r="AE246" s="69"/>
      <c r="AF246" s="69"/>
      <c r="AG246" s="69"/>
      <c r="AH246" s="69"/>
    </row>
    <row r="247" spans="29:34" ht="12.75">
      <c r="AC247" s="69"/>
      <c r="AD247" s="69"/>
      <c r="AE247" s="69"/>
      <c r="AF247" s="69"/>
      <c r="AG247" s="69"/>
      <c r="AH247" s="69"/>
    </row>
    <row r="248" spans="29:34" ht="12.75">
      <c r="AC248" s="69"/>
      <c r="AD248" s="69"/>
      <c r="AE248" s="69"/>
      <c r="AF248" s="69"/>
      <c r="AG248" s="69"/>
      <c r="AH248" s="69"/>
    </row>
    <row r="249" spans="29:34" ht="12.75">
      <c r="AC249" s="69"/>
      <c r="AD249" s="69"/>
      <c r="AE249" s="69"/>
      <c r="AF249" s="69"/>
      <c r="AG249" s="69"/>
      <c r="AH249" s="69"/>
    </row>
    <row r="250" spans="29:34" ht="12.75">
      <c r="AC250" s="69"/>
      <c r="AD250" s="69"/>
      <c r="AE250" s="69"/>
      <c r="AF250" s="69"/>
      <c r="AG250" s="69"/>
      <c r="AH250" s="69"/>
    </row>
    <row r="251" spans="29:34" ht="12.75">
      <c r="AC251" s="69"/>
      <c r="AD251" s="69"/>
      <c r="AE251" s="69"/>
      <c r="AF251" s="69"/>
      <c r="AG251" s="69"/>
      <c r="AH251" s="69"/>
    </row>
    <row r="252" spans="29:34" ht="12.75">
      <c r="AC252" s="69"/>
      <c r="AD252" s="69"/>
      <c r="AE252" s="69"/>
      <c r="AF252" s="69"/>
      <c r="AG252" s="69"/>
      <c r="AH252" s="69"/>
    </row>
    <row r="253" spans="29:34" ht="12.75">
      <c r="AC253" s="69"/>
      <c r="AD253" s="69"/>
      <c r="AE253" s="69"/>
      <c r="AF253" s="69"/>
      <c r="AG253" s="69"/>
      <c r="AH253" s="69"/>
    </row>
    <row r="254" spans="29:34" ht="12.75">
      <c r="AC254" s="69"/>
      <c r="AD254" s="69"/>
      <c r="AE254" s="69"/>
      <c r="AF254" s="69"/>
      <c r="AG254" s="69"/>
      <c r="AH254" s="69"/>
    </row>
    <row r="255" spans="29:34" ht="12.75">
      <c r="AC255" s="69"/>
      <c r="AD255" s="69"/>
      <c r="AE255" s="69"/>
      <c r="AF255" s="69"/>
      <c r="AG255" s="69"/>
      <c r="AH255" s="69"/>
    </row>
    <row r="256" spans="29:34" ht="12.75">
      <c r="AC256" s="69"/>
      <c r="AD256" s="69"/>
      <c r="AE256" s="69"/>
      <c r="AF256" s="69"/>
      <c r="AG256" s="69"/>
      <c r="AH256" s="69"/>
    </row>
    <row r="257" spans="29:34" ht="12.75">
      <c r="AC257" s="69"/>
      <c r="AD257" s="69"/>
      <c r="AE257" s="69"/>
      <c r="AF257" s="69"/>
      <c r="AG257" s="69"/>
      <c r="AH257" s="69"/>
    </row>
    <row r="258" spans="29:34" ht="12.75">
      <c r="AC258" s="69"/>
      <c r="AD258" s="69"/>
      <c r="AE258" s="69"/>
      <c r="AF258" s="69"/>
      <c r="AG258" s="69"/>
      <c r="AH258" s="69"/>
    </row>
    <row r="259" spans="29:34" ht="12.75">
      <c r="AC259" s="69"/>
      <c r="AD259" s="69"/>
      <c r="AE259" s="69"/>
      <c r="AF259" s="69"/>
      <c r="AG259" s="69"/>
      <c r="AH259" s="69"/>
    </row>
    <row r="260" spans="29:34" ht="12.75">
      <c r="AC260" s="69"/>
      <c r="AD260" s="69"/>
      <c r="AE260" s="69"/>
      <c r="AF260" s="69"/>
      <c r="AG260" s="69"/>
      <c r="AH260" s="69"/>
    </row>
    <row r="261" spans="29:34" ht="12.75">
      <c r="AC261" s="69"/>
      <c r="AD261" s="69"/>
      <c r="AE261" s="69"/>
      <c r="AF261" s="69"/>
      <c r="AG261" s="69"/>
      <c r="AH261" s="69"/>
    </row>
    <row r="262" spans="29:34" ht="12.75">
      <c r="AC262" s="69"/>
      <c r="AD262" s="69"/>
      <c r="AE262" s="69"/>
      <c r="AF262" s="69"/>
      <c r="AG262" s="69"/>
      <c r="AH262" s="69"/>
    </row>
    <row r="263" spans="29:34" ht="12.75">
      <c r="AC263" s="69"/>
      <c r="AD263" s="69"/>
      <c r="AE263" s="69"/>
      <c r="AF263" s="69"/>
      <c r="AG263" s="69"/>
      <c r="AH263" s="69"/>
    </row>
    <row r="264" spans="29:34" ht="12.75">
      <c r="AC264" s="69"/>
      <c r="AD264" s="69"/>
      <c r="AE264" s="69"/>
      <c r="AF264" s="69"/>
      <c r="AG264" s="69"/>
      <c r="AH264" s="69"/>
    </row>
    <row r="265" spans="29:34" ht="12.75">
      <c r="AC265" s="69"/>
      <c r="AD265" s="69"/>
      <c r="AE265" s="69"/>
      <c r="AF265" s="69"/>
      <c r="AG265" s="69"/>
      <c r="AH265" s="69"/>
    </row>
    <row r="266" spans="29:34" ht="12.75">
      <c r="AC266" s="69"/>
      <c r="AD266" s="69"/>
      <c r="AE266" s="69"/>
      <c r="AF266" s="69"/>
      <c r="AG266" s="69"/>
      <c r="AH266" s="69"/>
    </row>
    <row r="267" spans="29:34" ht="12.75">
      <c r="AC267" s="69"/>
      <c r="AD267" s="69"/>
      <c r="AE267" s="69"/>
      <c r="AF267" s="69"/>
      <c r="AG267" s="69"/>
      <c r="AH267" s="69"/>
    </row>
    <row r="268" spans="29:34" ht="12.75">
      <c r="AC268" s="69"/>
      <c r="AD268" s="69"/>
      <c r="AE268" s="69"/>
      <c r="AF268" s="69"/>
      <c r="AG268" s="69"/>
      <c r="AH268" s="69"/>
    </row>
    <row r="269" spans="29:34" ht="12.75">
      <c r="AC269" s="69"/>
      <c r="AD269" s="69"/>
      <c r="AE269" s="69"/>
      <c r="AF269" s="69"/>
      <c r="AG269" s="69"/>
      <c r="AH269" s="69"/>
    </row>
    <row r="270" spans="29:34" ht="12.75">
      <c r="AC270" s="69"/>
      <c r="AD270" s="69"/>
      <c r="AE270" s="69"/>
      <c r="AF270" s="69"/>
      <c r="AG270" s="69"/>
      <c r="AH270" s="69"/>
    </row>
    <row r="271" spans="29:34" ht="12.75">
      <c r="AC271" s="69"/>
      <c r="AD271" s="69"/>
      <c r="AE271" s="69"/>
      <c r="AF271" s="69"/>
      <c r="AG271" s="69"/>
      <c r="AH271" s="69"/>
    </row>
    <row r="272" spans="29:34" ht="12.75">
      <c r="AC272" s="69"/>
      <c r="AD272" s="69"/>
      <c r="AE272" s="69"/>
      <c r="AF272" s="69"/>
      <c r="AG272" s="69"/>
      <c r="AH272" s="69"/>
    </row>
    <row r="273" spans="29:34" ht="12.75">
      <c r="AC273" s="69"/>
      <c r="AD273" s="69"/>
      <c r="AE273" s="69"/>
      <c r="AF273" s="69"/>
      <c r="AG273" s="69"/>
      <c r="AH273" s="69"/>
    </row>
    <row r="274" spans="29:34" ht="12.75">
      <c r="AC274" s="69"/>
      <c r="AD274" s="69"/>
      <c r="AE274" s="69"/>
      <c r="AF274" s="69"/>
      <c r="AG274" s="69"/>
      <c r="AH274" s="69"/>
    </row>
    <row r="275" spans="29:34" ht="12.75">
      <c r="AC275" s="69"/>
      <c r="AD275" s="69"/>
      <c r="AE275" s="69"/>
      <c r="AF275" s="69"/>
      <c r="AG275" s="69"/>
      <c r="AH275" s="69"/>
    </row>
    <row r="276" spans="29:34" ht="12.75">
      <c r="AC276" s="69"/>
      <c r="AD276" s="69"/>
      <c r="AE276" s="69"/>
      <c r="AF276" s="69"/>
      <c r="AG276" s="69"/>
      <c r="AH276" s="69"/>
    </row>
    <row r="277" spans="29:34" ht="12.75">
      <c r="AC277" s="69"/>
      <c r="AD277" s="69"/>
      <c r="AE277" s="69"/>
      <c r="AF277" s="69"/>
      <c r="AG277" s="69"/>
      <c r="AH277" s="69"/>
    </row>
    <row r="278" spans="29:34" ht="12.75">
      <c r="AC278" s="69"/>
      <c r="AD278" s="69"/>
      <c r="AE278" s="69"/>
      <c r="AF278" s="69"/>
      <c r="AG278" s="69"/>
      <c r="AH278" s="69"/>
    </row>
    <row r="279" spans="29:34" ht="12.75">
      <c r="AC279" s="69"/>
      <c r="AD279" s="69"/>
      <c r="AE279" s="69"/>
      <c r="AF279" s="69"/>
      <c r="AG279" s="69"/>
      <c r="AH279" s="69"/>
    </row>
    <row r="280" spans="29:34" ht="12.75">
      <c r="AC280" s="69"/>
      <c r="AD280" s="69"/>
      <c r="AE280" s="69"/>
      <c r="AF280" s="69"/>
      <c r="AG280" s="69"/>
      <c r="AH280" s="69"/>
    </row>
    <row r="281" spans="29:34" ht="12.75">
      <c r="AC281" s="69"/>
      <c r="AD281" s="69"/>
      <c r="AE281" s="69"/>
      <c r="AF281" s="69"/>
      <c r="AG281" s="69"/>
      <c r="AH281" s="69"/>
    </row>
    <row r="282" spans="29:34" ht="12.75">
      <c r="AC282" s="69"/>
      <c r="AD282" s="69"/>
      <c r="AE282" s="69"/>
      <c r="AF282" s="69"/>
      <c r="AG282" s="69"/>
      <c r="AH282" s="69"/>
    </row>
    <row r="283" spans="29:34" ht="12.75">
      <c r="AC283" s="69"/>
      <c r="AD283" s="69"/>
      <c r="AE283" s="69"/>
      <c r="AF283" s="69"/>
      <c r="AG283" s="69"/>
      <c r="AH283" s="69"/>
    </row>
    <row r="284" spans="29:34" ht="12.75">
      <c r="AC284" s="69"/>
      <c r="AD284" s="69"/>
      <c r="AE284" s="69"/>
      <c r="AF284" s="69"/>
      <c r="AG284" s="69"/>
      <c r="AH284" s="69"/>
    </row>
    <row r="285" spans="29:34" ht="12.75">
      <c r="AC285" s="69"/>
      <c r="AD285" s="69"/>
      <c r="AE285" s="69"/>
      <c r="AF285" s="69"/>
      <c r="AG285" s="69"/>
      <c r="AH285" s="69"/>
    </row>
    <row r="286" spans="29:34" ht="12.75">
      <c r="AC286" s="69"/>
      <c r="AD286" s="69"/>
      <c r="AE286" s="69"/>
      <c r="AF286" s="69"/>
      <c r="AG286" s="69"/>
      <c r="AH286" s="69"/>
    </row>
    <row r="287" spans="29:34" ht="12.75">
      <c r="AC287" s="69"/>
      <c r="AD287" s="69"/>
      <c r="AE287" s="69"/>
      <c r="AF287" s="69"/>
      <c r="AG287" s="69"/>
      <c r="AH287" s="69"/>
    </row>
    <row r="288" spans="29:34" ht="12.75">
      <c r="AC288" s="69"/>
      <c r="AD288" s="69"/>
      <c r="AE288" s="69"/>
      <c r="AF288" s="69"/>
      <c r="AG288" s="69"/>
      <c r="AH288" s="69"/>
    </row>
    <row r="289" spans="29:34" ht="12.75">
      <c r="AC289" s="69"/>
      <c r="AD289" s="69"/>
      <c r="AE289" s="69"/>
      <c r="AF289" s="69"/>
      <c r="AG289" s="69"/>
      <c r="AH289" s="69"/>
    </row>
    <row r="290" spans="29:34" ht="12.75">
      <c r="AC290" s="69"/>
      <c r="AD290" s="69"/>
      <c r="AE290" s="69"/>
      <c r="AF290" s="69"/>
      <c r="AG290" s="69"/>
      <c r="AH290" s="69"/>
    </row>
    <row r="291" spans="29:34" ht="12.75">
      <c r="AC291" s="69"/>
      <c r="AD291" s="69"/>
      <c r="AE291" s="69"/>
      <c r="AF291" s="69"/>
      <c r="AG291" s="69"/>
      <c r="AH291" s="69"/>
    </row>
    <row r="292" spans="29:34" ht="12.75">
      <c r="AC292" s="69"/>
      <c r="AD292" s="69"/>
      <c r="AE292" s="69"/>
      <c r="AF292" s="69"/>
      <c r="AG292" s="69"/>
      <c r="AH292" s="69"/>
    </row>
    <row r="293" spans="29:34" ht="12.75">
      <c r="AC293" s="69"/>
      <c r="AD293" s="69"/>
      <c r="AE293" s="69"/>
      <c r="AF293" s="69"/>
      <c r="AG293" s="69"/>
      <c r="AH293" s="69"/>
    </row>
    <row r="294" spans="29:34" ht="12.75">
      <c r="AC294" s="69"/>
      <c r="AD294" s="69"/>
      <c r="AE294" s="69"/>
      <c r="AF294" s="69"/>
      <c r="AG294" s="69"/>
      <c r="AH294" s="69"/>
    </row>
    <row r="295" spans="29:34" ht="12.75">
      <c r="AC295" s="69"/>
      <c r="AD295" s="69"/>
      <c r="AE295" s="69"/>
      <c r="AF295" s="69"/>
      <c r="AG295" s="69"/>
      <c r="AH295" s="69"/>
    </row>
    <row r="296" spans="29:34" ht="12.75">
      <c r="AC296" s="69"/>
      <c r="AD296" s="69"/>
      <c r="AE296" s="69"/>
      <c r="AF296" s="69"/>
      <c r="AG296" s="69"/>
      <c r="AH296" s="69"/>
    </row>
    <row r="297" spans="29:34" ht="12.75">
      <c r="AC297" s="69"/>
      <c r="AD297" s="69"/>
      <c r="AE297" s="69"/>
      <c r="AF297" s="69"/>
      <c r="AG297" s="69"/>
      <c r="AH297" s="69"/>
    </row>
    <row r="298" spans="29:34" ht="12.75">
      <c r="AC298" s="69"/>
      <c r="AD298" s="69"/>
      <c r="AE298" s="69"/>
      <c r="AF298" s="69"/>
      <c r="AG298" s="69"/>
      <c r="AH298" s="69"/>
    </row>
    <row r="299" spans="29:34" ht="12.75">
      <c r="AC299" s="69"/>
      <c r="AD299" s="69"/>
      <c r="AE299" s="69"/>
      <c r="AF299" s="69"/>
      <c r="AG299" s="69"/>
      <c r="AH299" s="69"/>
    </row>
    <row r="300" spans="29:34" ht="12.75">
      <c r="AC300" s="69"/>
      <c r="AD300" s="69"/>
      <c r="AE300" s="69"/>
      <c r="AF300" s="69"/>
      <c r="AG300" s="69"/>
      <c r="AH300" s="69"/>
    </row>
    <row r="301" spans="29:34" ht="12.75">
      <c r="AC301" s="69"/>
      <c r="AD301" s="69"/>
      <c r="AE301" s="69"/>
      <c r="AF301" s="69"/>
      <c r="AG301" s="69"/>
      <c r="AH301" s="69"/>
    </row>
    <row r="302" spans="29:34" ht="12.75">
      <c r="AC302" s="69"/>
      <c r="AD302" s="69"/>
      <c r="AE302" s="69"/>
      <c r="AF302" s="69"/>
      <c r="AG302" s="69"/>
      <c r="AH302" s="69"/>
    </row>
    <row r="303" spans="29:34" ht="12.75">
      <c r="AC303" s="69"/>
      <c r="AD303" s="69"/>
      <c r="AE303" s="69"/>
      <c r="AF303" s="69"/>
      <c r="AG303" s="69"/>
      <c r="AH303" s="69"/>
    </row>
    <row r="304" spans="29:34" ht="12.75">
      <c r="AC304" s="69"/>
      <c r="AD304" s="69"/>
      <c r="AE304" s="69"/>
      <c r="AF304" s="69"/>
      <c r="AG304" s="69"/>
      <c r="AH304" s="69"/>
    </row>
    <row r="305" spans="29:34" ht="12.75">
      <c r="AC305" s="69"/>
      <c r="AD305" s="69"/>
      <c r="AE305" s="69"/>
      <c r="AF305" s="69"/>
      <c r="AG305" s="69"/>
      <c r="AH305" s="69"/>
    </row>
    <row r="306" spans="29:34" ht="12.75">
      <c r="AC306" s="69"/>
      <c r="AD306" s="69"/>
      <c r="AE306" s="69"/>
      <c r="AF306" s="69"/>
      <c r="AG306" s="69"/>
      <c r="AH306" s="69"/>
    </row>
    <row r="307" spans="29:34" ht="12.75">
      <c r="AC307" s="69"/>
      <c r="AD307" s="69"/>
      <c r="AE307" s="69"/>
      <c r="AF307" s="69"/>
      <c r="AG307" s="69"/>
      <c r="AH307" s="69"/>
    </row>
    <row r="308" spans="29:34" ht="12.75">
      <c r="AC308" s="69"/>
      <c r="AD308" s="69"/>
      <c r="AE308" s="69"/>
      <c r="AF308" s="69"/>
      <c r="AG308" s="69"/>
      <c r="AH308" s="69"/>
    </row>
    <row r="309" spans="29:34" ht="12.75">
      <c r="AC309" s="69"/>
      <c r="AD309" s="69"/>
      <c r="AE309" s="69"/>
      <c r="AF309" s="69"/>
      <c r="AG309" s="69"/>
      <c r="AH309" s="69"/>
    </row>
    <row r="310" spans="29:34" ht="12.75">
      <c r="AC310" s="69"/>
      <c r="AD310" s="69"/>
      <c r="AE310" s="69"/>
      <c r="AF310" s="69"/>
      <c r="AG310" s="69"/>
      <c r="AH310" s="69"/>
    </row>
    <row r="311" spans="29:34" ht="12.75">
      <c r="AC311" s="69"/>
      <c r="AD311" s="69"/>
      <c r="AE311" s="69"/>
      <c r="AF311" s="69"/>
      <c r="AG311" s="69"/>
      <c r="AH311" s="69"/>
    </row>
    <row r="312" spans="29:34" ht="12.75">
      <c r="AC312" s="69"/>
      <c r="AD312" s="69"/>
      <c r="AE312" s="69"/>
      <c r="AF312" s="69"/>
      <c r="AG312" s="69"/>
      <c r="AH312" s="69"/>
    </row>
    <row r="313" spans="29:34" ht="12.75">
      <c r="AC313" s="69"/>
      <c r="AD313" s="69"/>
      <c r="AE313" s="69"/>
      <c r="AF313" s="69"/>
      <c r="AG313" s="69"/>
      <c r="AH313" s="69"/>
    </row>
    <row r="314" spans="29:34" ht="12.75">
      <c r="AC314" s="69"/>
      <c r="AD314" s="69"/>
      <c r="AE314" s="69"/>
      <c r="AF314" s="69"/>
      <c r="AG314" s="69"/>
      <c r="AH314" s="69"/>
    </row>
    <row r="315" spans="29:34" ht="12.75">
      <c r="AC315" s="69"/>
      <c r="AD315" s="69"/>
      <c r="AE315" s="69"/>
      <c r="AF315" s="69"/>
      <c r="AG315" s="69"/>
      <c r="AH315" s="69"/>
    </row>
    <row r="316" spans="29:34" ht="12.75">
      <c r="AC316" s="69"/>
      <c r="AD316" s="69"/>
      <c r="AE316" s="69"/>
      <c r="AF316" s="69"/>
      <c r="AG316" s="69"/>
      <c r="AH316" s="69"/>
    </row>
    <row r="317" spans="29:34" ht="12.75">
      <c r="AC317" s="69"/>
      <c r="AD317" s="69"/>
      <c r="AE317" s="69"/>
      <c r="AF317" s="69"/>
      <c r="AG317" s="69"/>
      <c r="AH317" s="69"/>
    </row>
    <row r="318" spans="29:34" ht="12.75">
      <c r="AC318" s="69"/>
      <c r="AD318" s="69"/>
      <c r="AE318" s="69"/>
      <c r="AF318" s="69"/>
      <c r="AG318" s="69"/>
      <c r="AH318" s="69"/>
    </row>
    <row r="319" spans="29:34" ht="12.75">
      <c r="AC319" s="69"/>
      <c r="AD319" s="69"/>
      <c r="AE319" s="69"/>
      <c r="AF319" s="69"/>
      <c r="AG319" s="69"/>
      <c r="AH319" s="69"/>
    </row>
  </sheetData>
  <sheetProtection sheet="1" objects="1" scenarios="1"/>
  <mergeCells count="13">
    <mergeCell ref="W4:X4"/>
    <mergeCell ref="O4:P4"/>
    <mergeCell ref="K4:L4"/>
    <mergeCell ref="M4:N4"/>
    <mergeCell ref="Q4:R4"/>
    <mergeCell ref="S4:T4"/>
    <mergeCell ref="U4:V4"/>
    <mergeCell ref="G4:H4"/>
    <mergeCell ref="I4:J4"/>
    <mergeCell ref="C2:D2"/>
    <mergeCell ref="A4:B4"/>
    <mergeCell ref="C4:D4"/>
    <mergeCell ref="E4:F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M59"/>
  <sheetViews>
    <sheetView zoomScalePageLayoutView="0" workbookViewId="0" topLeftCell="A3">
      <selection activeCell="D31" sqref="D31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3" width="11.57421875" style="6" customWidth="1"/>
    <col min="14" max="16384" width="11.421875" style="6" customWidth="1"/>
  </cols>
  <sheetData>
    <row r="1" spans="1:10" ht="12.75">
      <c r="A1" s="24"/>
      <c r="B1" s="25"/>
      <c r="C1" s="25"/>
      <c r="D1" s="25"/>
      <c r="E1" s="25"/>
      <c r="F1" s="26"/>
      <c r="G1" s="27"/>
      <c r="H1" s="26"/>
      <c r="I1" s="27"/>
      <c r="J1" s="28"/>
    </row>
    <row r="2" spans="1:10" ht="12.75">
      <c r="A2" s="24"/>
      <c r="B2" s="24"/>
      <c r="C2" s="24"/>
      <c r="D2" s="24"/>
      <c r="E2" s="24"/>
      <c r="F2" s="16"/>
      <c r="G2" s="29"/>
      <c r="H2" s="16"/>
      <c r="I2" s="29"/>
      <c r="J2" s="30"/>
    </row>
    <row r="3" spans="1:11" ht="13.5" thickBot="1">
      <c r="A3" s="24"/>
      <c r="B3" s="24"/>
      <c r="C3" s="24"/>
      <c r="D3" s="24"/>
      <c r="E3" s="29"/>
      <c r="F3" s="16"/>
      <c r="G3" s="29"/>
      <c r="H3" s="16"/>
      <c r="I3" s="29"/>
      <c r="J3" s="30"/>
      <c r="K3" s="2"/>
    </row>
    <row r="4" spans="1:10" ht="18.75">
      <c r="A4" s="24"/>
      <c r="B4" s="21"/>
      <c r="C4" s="53" t="s">
        <v>79</v>
      </c>
      <c r="D4" s="54"/>
      <c r="E4" s="54"/>
      <c r="F4" s="55" t="str">
        <f>Stammdaten!$B$6</f>
        <v>Mustermann, Hans</v>
      </c>
      <c r="G4" s="54"/>
      <c r="H4" s="54"/>
      <c r="I4" s="56">
        <f>gewJahr</f>
        <v>2015</v>
      </c>
      <c r="J4" s="30"/>
    </row>
    <row r="5" spans="1:10" ht="12.75">
      <c r="A5" s="25"/>
      <c r="B5" s="21"/>
      <c r="C5" s="57"/>
      <c r="D5" s="58" t="s">
        <v>66</v>
      </c>
      <c r="E5" s="59" t="s">
        <v>67</v>
      </c>
      <c r="F5" s="59" t="s">
        <v>68</v>
      </c>
      <c r="G5" s="59" t="s">
        <v>69</v>
      </c>
      <c r="H5" s="59" t="s">
        <v>70</v>
      </c>
      <c r="I5" s="60" t="s">
        <v>71</v>
      </c>
      <c r="J5" s="30"/>
    </row>
    <row r="6" spans="1:10" ht="12.75">
      <c r="A6" s="24"/>
      <c r="B6" s="25"/>
      <c r="C6" s="263" t="s">
        <v>80</v>
      </c>
      <c r="D6" s="47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147.5</v>
      </c>
      <c r="E6" s="48">
        <f>(COUNTIF(Feb!C8:C36,2)*Stammdaten!$H$3)+(COUNTIF(Feb!C8:C36,3)*Stammdaten!$H$4)+(COUNTIF(Feb!C8:C36,4)*Stammdaten!$H$5)+(COUNTIF(Feb!C8:C36,5)*Stammdaten!$H$6)+(COUNTIF(Feb!C8:C36,6)*Stammdaten!$H$7)</f>
        <v>150</v>
      </c>
      <c r="F6" s="48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166</v>
      </c>
      <c r="G6" s="48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152.5</v>
      </c>
      <c r="H6" s="48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134</v>
      </c>
      <c r="I6" s="49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158</v>
      </c>
      <c r="J6" s="33"/>
    </row>
    <row r="7" spans="1:10" ht="12.75">
      <c r="A7" s="24"/>
      <c r="B7" s="24"/>
      <c r="C7" s="260" t="s">
        <v>81</v>
      </c>
      <c r="D7" s="353">
        <f>Jan!$F$39*24</f>
        <v>117</v>
      </c>
      <c r="E7" s="353">
        <f>Feb!$F$39*24</f>
        <v>94.50000000000003</v>
      </c>
      <c r="F7" s="353">
        <f>März!$F$39*24</f>
        <v>160.74999999999997</v>
      </c>
      <c r="G7" s="353">
        <f>April!$F$39*24</f>
        <v>50.5</v>
      </c>
      <c r="H7" s="353">
        <f>Mai!$F$39*24</f>
        <v>26.750000000000004</v>
      </c>
      <c r="I7" s="517">
        <f>Juni!$F$39*24</f>
        <v>34.5</v>
      </c>
      <c r="J7" s="30"/>
    </row>
    <row r="8" spans="1:10" ht="12.75">
      <c r="A8" s="24"/>
      <c r="B8" s="24"/>
      <c r="C8" s="261" t="s">
        <v>33</v>
      </c>
      <c r="D8" s="354">
        <f aca="true" t="shared" si="0" ref="D8:I8">IF(D7-D6&gt;0,D7-D6,0)</f>
        <v>0</v>
      </c>
      <c r="E8" s="354">
        <f t="shared" si="0"/>
        <v>0</v>
      </c>
      <c r="F8" s="354">
        <f>IF(F7&gt;F6,F7-F6,0)</f>
        <v>0</v>
      </c>
      <c r="G8" s="354">
        <f t="shared" si="0"/>
        <v>0</v>
      </c>
      <c r="H8" s="354">
        <f t="shared" si="0"/>
        <v>0</v>
      </c>
      <c r="I8" s="518">
        <f t="shared" si="0"/>
        <v>0</v>
      </c>
      <c r="J8" s="24"/>
    </row>
    <row r="9" spans="1:10" ht="12.75">
      <c r="A9" s="24"/>
      <c r="B9" s="24"/>
      <c r="C9" s="61" t="s">
        <v>153</v>
      </c>
      <c r="D9" s="355"/>
      <c r="E9" s="357"/>
      <c r="F9" s="357"/>
      <c r="G9" s="357"/>
      <c r="H9" s="357"/>
      <c r="I9" s="299"/>
      <c r="J9" s="34"/>
    </row>
    <row r="10" spans="1:10" ht="12.75">
      <c r="A10" s="24"/>
      <c r="B10" s="24"/>
      <c r="C10" s="249" t="s">
        <v>82</v>
      </c>
      <c r="D10" s="358">
        <f>Jan!$I$39</f>
        <v>0</v>
      </c>
      <c r="E10" s="358">
        <f>Feb!$I$39</f>
        <v>2.6666666666666674</v>
      </c>
      <c r="F10" s="358">
        <f>März!$I$39</f>
        <v>0.0625</v>
      </c>
      <c r="G10" s="358">
        <f>April!$I$39</f>
        <v>0.052083333333333294</v>
      </c>
      <c r="H10" s="358">
        <f>Mai!$I$39</f>
        <v>0</v>
      </c>
      <c r="I10" s="359">
        <f>Juni!$I$39</f>
        <v>0.16666666666666669</v>
      </c>
      <c r="J10" s="34"/>
    </row>
    <row r="11" spans="1:10" ht="12.75">
      <c r="A11" s="24"/>
      <c r="B11" s="24"/>
      <c r="C11" s="250" t="s">
        <v>83</v>
      </c>
      <c r="D11" s="356">
        <f>Jan!$F$42</f>
        <v>0</v>
      </c>
      <c r="E11" s="351">
        <f>Feb!$F$42</f>
        <v>0</v>
      </c>
      <c r="F11" s="300">
        <f>März!$F$42</f>
        <v>1.3020833333333333</v>
      </c>
      <c r="G11" s="300">
        <f>April!$F$42</f>
        <v>0.6666666666666666</v>
      </c>
      <c r="H11" s="300">
        <f>Mai!$F$42</f>
        <v>0</v>
      </c>
      <c r="I11" s="301">
        <f>Juni!$F$42</f>
        <v>0</v>
      </c>
      <c r="J11" s="35"/>
    </row>
    <row r="12" spans="1:11" ht="12.75">
      <c r="A12" s="24"/>
      <c r="B12" s="24"/>
      <c r="C12" s="193" t="s">
        <v>84</v>
      </c>
      <c r="D12" s="355">
        <f>Jan!$F$40</f>
        <v>0</v>
      </c>
      <c r="E12" s="352">
        <f>Feb!$F$40</f>
        <v>0</v>
      </c>
      <c r="F12" s="298">
        <f>März!$F$40</f>
        <v>0.3020833333333333</v>
      </c>
      <c r="G12" s="298">
        <f>April!$F$40</f>
        <v>0</v>
      </c>
      <c r="H12" s="298">
        <f>Mai!$F$40</f>
        <v>0</v>
      </c>
      <c r="I12" s="302">
        <f>Juni!$F$40</f>
        <v>0</v>
      </c>
      <c r="J12" s="34"/>
      <c r="K12" s="195"/>
    </row>
    <row r="13" spans="1:10" ht="13.5" thickBot="1">
      <c r="A13" s="24"/>
      <c r="B13" s="24"/>
      <c r="C13" s="259" t="s">
        <v>125</v>
      </c>
      <c r="D13" s="303">
        <f>Jan!$F$41</f>
        <v>0</v>
      </c>
      <c r="E13" s="303">
        <f>Feb!$F$41</f>
        <v>0.4791666666666667</v>
      </c>
      <c r="F13" s="303">
        <f>März!$F$41</f>
        <v>0.9375</v>
      </c>
      <c r="G13" s="303">
        <f>April!$F$41</f>
        <v>0.3333333333333333</v>
      </c>
      <c r="H13" s="303">
        <f>Mai!$F$41</f>
        <v>0</v>
      </c>
      <c r="I13" s="304">
        <f>Juni!$F$41</f>
        <v>0</v>
      </c>
      <c r="J13" s="34"/>
    </row>
    <row r="14" spans="1:10" ht="12.75">
      <c r="A14" s="24"/>
      <c r="B14" s="24"/>
      <c r="C14" s="275" t="s">
        <v>91</v>
      </c>
      <c r="D14" s="272">
        <f>Jan!$J$42</f>
        <v>2</v>
      </c>
      <c r="E14" s="276">
        <f>Feb!$J$42</f>
        <v>0</v>
      </c>
      <c r="F14" s="272">
        <f>März!$J$42</f>
        <v>1</v>
      </c>
      <c r="G14" s="276">
        <f>April!$J$42</f>
        <v>0</v>
      </c>
      <c r="H14" s="272">
        <f>Mai!$J$42</f>
        <v>0</v>
      </c>
      <c r="I14" s="277">
        <f>Juni!$J$42</f>
        <v>0</v>
      </c>
      <c r="J14" s="34"/>
    </row>
    <row r="15" spans="1:10" ht="12.75">
      <c r="A15" s="24"/>
      <c r="B15" s="16"/>
      <c r="C15" s="268" t="s">
        <v>179</v>
      </c>
      <c r="D15" s="318">
        <f>Jan!$J$43</f>
        <v>0</v>
      </c>
      <c r="E15" s="318">
        <f>Feb!$J$43</f>
        <v>3</v>
      </c>
      <c r="F15" s="318">
        <f>März!$J$43</f>
        <v>0</v>
      </c>
      <c r="G15" s="318">
        <f>April!$J$43</f>
        <v>0</v>
      </c>
      <c r="H15" s="318">
        <f>Mai!$J$43</f>
        <v>0</v>
      </c>
      <c r="I15" s="319">
        <f>Juni!$J$43</f>
        <v>0</v>
      </c>
      <c r="J15" s="34"/>
    </row>
    <row r="16" spans="1:10" ht="13.5" thickBot="1">
      <c r="A16" s="24"/>
      <c r="B16" s="16"/>
      <c r="C16" s="270" t="s">
        <v>90</v>
      </c>
      <c r="D16" s="273">
        <f>Jan!$J$40</f>
        <v>2</v>
      </c>
      <c r="E16" s="273">
        <f>Feb!$J$40</f>
        <v>0</v>
      </c>
      <c r="F16" s="273">
        <f>März!$J$40</f>
        <v>0</v>
      </c>
      <c r="G16" s="273">
        <f>April!$J$40</f>
        <v>4</v>
      </c>
      <c r="H16" s="274">
        <f>Mai!$J$40</f>
        <v>0</v>
      </c>
      <c r="I16" s="320">
        <f>Juni!$J$40</f>
        <v>0</v>
      </c>
      <c r="J16" s="34"/>
    </row>
    <row r="17" spans="1:10" ht="12.75">
      <c r="A17" s="24"/>
      <c r="B17" s="24"/>
      <c r="C17" s="264"/>
      <c r="D17" s="265" t="s">
        <v>72</v>
      </c>
      <c r="E17" s="266" t="s">
        <v>73</v>
      </c>
      <c r="F17" s="266" t="s">
        <v>74</v>
      </c>
      <c r="G17" s="266" t="s">
        <v>75</v>
      </c>
      <c r="H17" s="266" t="s">
        <v>76</v>
      </c>
      <c r="I17" s="267" t="s">
        <v>77</v>
      </c>
      <c r="J17" s="34"/>
    </row>
    <row r="18" spans="1:11" ht="12.75">
      <c r="A18" s="24"/>
      <c r="B18" s="24"/>
      <c r="C18" s="262" t="s">
        <v>80</v>
      </c>
      <c r="D18" s="50">
        <f>(COUNTIF(Juli!C8:C38,2)*Stammdaten!$H$3)+(COUNTIF(Juli!C8:C38,3)*Stammdaten!$H$4)+(COUNTIF(Juli!C8:C38,4)*Stammdaten!$H$5)+(COUNTIF(Juli!C8:C38,5)*Stammdaten!$H$6)+(COUNTIF(Juli!C8:C38,6)*Stammdaten!$H$7)</f>
        <v>171.5</v>
      </c>
      <c r="E18" s="51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158</v>
      </c>
      <c r="F18" s="51">
        <f>(COUNTIF(Sep!C8:C38,2)*Stammdaten!$H$3)+(COUNTIF(Sep!C8:C38,3)*Stammdaten!$H$4)+(COUNTIF(Sep!C8:C38,4)*Stammdaten!$H$5)+(COUNTIF(Sep!C8:C38,5)*Stammdaten!$H$6)+(COUNTIF(Sep!C8:C38,6)*Stammdaten!$H$7)</f>
        <v>166</v>
      </c>
      <c r="G18" s="51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163.5</v>
      </c>
      <c r="H18" s="51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158</v>
      </c>
      <c r="I18" s="52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168.5</v>
      </c>
      <c r="J18" s="34"/>
      <c r="K18" s="194"/>
    </row>
    <row r="19" spans="1:10" ht="12.75">
      <c r="A19" s="24"/>
      <c r="B19" s="24"/>
      <c r="C19" s="321" t="s">
        <v>81</v>
      </c>
      <c r="D19" s="353">
        <f>Juli!$F$39*24</f>
        <v>21.249999999999996</v>
      </c>
      <c r="E19" s="353">
        <f>Aug!$F$39*24</f>
        <v>8</v>
      </c>
      <c r="F19" s="353">
        <f>Sep!$F$39*24</f>
        <v>7.25</v>
      </c>
      <c r="G19" s="353">
        <f>Okt!$F$39*24</f>
        <v>0</v>
      </c>
      <c r="H19" s="353">
        <f>Nov!$F$39*24</f>
        <v>0</v>
      </c>
      <c r="I19" s="517">
        <f>Dez!$F$39*24</f>
        <v>117</v>
      </c>
      <c r="J19" s="34"/>
    </row>
    <row r="20" spans="1:10" ht="12.75">
      <c r="A20" s="25"/>
      <c r="B20" s="24"/>
      <c r="C20" s="322" t="s">
        <v>33</v>
      </c>
      <c r="D20" s="519">
        <f aca="true" t="shared" si="1" ref="D20:I20">IF(D19-D18&gt;0,D19-D18,0)</f>
        <v>0</v>
      </c>
      <c r="E20" s="520">
        <f t="shared" si="1"/>
        <v>0</v>
      </c>
      <c r="F20" s="520">
        <f t="shared" si="1"/>
        <v>0</v>
      </c>
      <c r="G20" s="520">
        <f t="shared" si="1"/>
        <v>0</v>
      </c>
      <c r="H20" s="520">
        <f t="shared" si="1"/>
        <v>0</v>
      </c>
      <c r="I20" s="521">
        <f t="shared" si="1"/>
        <v>0</v>
      </c>
      <c r="J20" s="35"/>
    </row>
    <row r="21" spans="1:10" ht="12.75">
      <c r="A21" s="25"/>
      <c r="B21" s="25"/>
      <c r="C21" s="323" t="s">
        <v>153</v>
      </c>
      <c r="D21" s="360"/>
      <c r="E21" s="357"/>
      <c r="F21" s="357"/>
      <c r="G21" s="357"/>
      <c r="H21" s="357"/>
      <c r="I21" s="299"/>
      <c r="J21" s="36"/>
    </row>
    <row r="22" spans="1:10" ht="12.75">
      <c r="A22" s="24"/>
      <c r="B22" s="25"/>
      <c r="C22" s="257" t="s">
        <v>82</v>
      </c>
      <c r="D22" s="358">
        <f>Juli!$I$39</f>
        <v>0.4375</v>
      </c>
      <c r="E22" s="358">
        <f>Aug!$I$39</f>
        <v>0</v>
      </c>
      <c r="F22" s="358">
        <f>Sep!$I$39</f>
        <v>0</v>
      </c>
      <c r="G22" s="358">
        <f>Okt!$I$39</f>
        <v>0</v>
      </c>
      <c r="H22" s="358">
        <f>Nov!$I$39</f>
        <v>0</v>
      </c>
      <c r="I22" s="359">
        <f>Dez!$I$39</f>
        <v>0</v>
      </c>
      <c r="J22" s="36"/>
    </row>
    <row r="23" spans="1:10" ht="12.75">
      <c r="A23" s="24"/>
      <c r="B23" s="37"/>
      <c r="C23" s="250" t="s">
        <v>83</v>
      </c>
      <c r="D23" s="300">
        <f>Juli!$F$42</f>
        <v>0</v>
      </c>
      <c r="E23" s="300">
        <f>Aug!$F$42</f>
        <v>0</v>
      </c>
      <c r="F23" s="300">
        <f>Sep!$F$42</f>
        <v>0</v>
      </c>
      <c r="G23" s="300">
        <f>Okt!$F$42</f>
        <v>0</v>
      </c>
      <c r="H23" s="300">
        <f>Nov!$F$42</f>
        <v>0</v>
      </c>
      <c r="I23" s="301">
        <f>Dez!$F$42</f>
        <v>0.4166666666666667</v>
      </c>
      <c r="J23" s="35"/>
    </row>
    <row r="24" spans="1:10" ht="12.75">
      <c r="A24" s="24"/>
      <c r="B24" s="37"/>
      <c r="C24" s="193" t="s">
        <v>84</v>
      </c>
      <c r="D24" s="298">
        <f>Juli!$F$40</f>
        <v>0</v>
      </c>
      <c r="E24" s="298">
        <f>Aug!$F$40</f>
        <v>0</v>
      </c>
      <c r="F24" s="298">
        <f>Sep!$F$40</f>
        <v>0</v>
      </c>
      <c r="G24" s="298">
        <f>Okt!$F$40</f>
        <v>0</v>
      </c>
      <c r="H24" s="298">
        <f>Nov!$F$40</f>
        <v>0</v>
      </c>
      <c r="I24" s="302">
        <f>Dez!$F$40</f>
        <v>0</v>
      </c>
      <c r="J24" s="35"/>
    </row>
    <row r="25" spans="1:12" ht="13.5" thickBot="1">
      <c r="A25" s="24"/>
      <c r="B25" s="37"/>
      <c r="C25" s="258" t="s">
        <v>125</v>
      </c>
      <c r="D25" s="303">
        <f>Juli!$F$41</f>
        <v>0</v>
      </c>
      <c r="E25" s="303">
        <f>Aug!$F$41</f>
        <v>0</v>
      </c>
      <c r="F25" s="303">
        <f>Sep!$F$41</f>
        <v>0</v>
      </c>
      <c r="G25" s="303">
        <f>Okt!$F$41</f>
        <v>0</v>
      </c>
      <c r="H25" s="303">
        <f>Nov!$F$41</f>
        <v>0</v>
      </c>
      <c r="I25" s="304">
        <f>Dez!$F$41</f>
        <v>0.6666666666666666</v>
      </c>
      <c r="J25" s="35"/>
      <c r="K25" s="305" t="s">
        <v>180</v>
      </c>
      <c r="L25" s="306"/>
    </row>
    <row r="26" spans="1:12" ht="12.75">
      <c r="A26" s="24"/>
      <c r="B26" s="37"/>
      <c r="C26" s="269" t="s">
        <v>91</v>
      </c>
      <c r="D26" s="324">
        <f>Juli!$J$42</f>
        <v>0</v>
      </c>
      <c r="E26" s="324">
        <f>Aug!$J$42</f>
        <v>3</v>
      </c>
      <c r="F26" s="324">
        <f>Sep!$J$42</f>
        <v>0</v>
      </c>
      <c r="G26" s="324">
        <f>Okt!$J$42</f>
        <v>0</v>
      </c>
      <c r="H26" s="324">
        <f>Nov!$J$42</f>
        <v>0</v>
      </c>
      <c r="I26" s="325">
        <f>Dez!$J$42</f>
        <v>0</v>
      </c>
      <c r="J26" s="35"/>
      <c r="K26" s="307" t="s">
        <v>91</v>
      </c>
      <c r="L26" s="308">
        <f>SUM(D14:I14)+SUM(D26:I26)</f>
        <v>6</v>
      </c>
    </row>
    <row r="27" spans="1:12" ht="12.75">
      <c r="A27" s="24"/>
      <c r="B27" s="37"/>
      <c r="C27" s="268" t="s">
        <v>179</v>
      </c>
      <c r="D27" s="318">
        <f>Juli!$J$43</f>
        <v>0</v>
      </c>
      <c r="E27" s="318">
        <f>Aug!$J$43</f>
        <v>0</v>
      </c>
      <c r="F27" s="318">
        <f>Sep!$J$43</f>
        <v>0</v>
      </c>
      <c r="G27" s="318">
        <f>Okt!$J$43</f>
        <v>0</v>
      </c>
      <c r="H27" s="318">
        <f>Nov!$J$43</f>
        <v>0</v>
      </c>
      <c r="I27" s="326">
        <f>Dez!$J$43</f>
        <v>0</v>
      </c>
      <c r="J27" s="35"/>
      <c r="K27" s="309" t="s">
        <v>179</v>
      </c>
      <c r="L27" s="308">
        <f>SUM(D15:I15)+SUM(D27:I27)</f>
        <v>3</v>
      </c>
    </row>
    <row r="28" spans="1:12" ht="13.5" thickBot="1">
      <c r="A28" s="24"/>
      <c r="B28" s="37"/>
      <c r="C28" s="271" t="s">
        <v>90</v>
      </c>
      <c r="D28" s="274">
        <f>Juli!$J$40</f>
        <v>0</v>
      </c>
      <c r="E28" s="274">
        <f>Aug!$J$40</f>
        <v>2</v>
      </c>
      <c r="F28" s="274">
        <f>Sep!$J$40</f>
        <v>0</v>
      </c>
      <c r="G28" s="274">
        <f>Okt!$J$40</f>
        <v>0</v>
      </c>
      <c r="H28" s="274">
        <f>Nov!$J$40</f>
        <v>0</v>
      </c>
      <c r="I28" s="327">
        <f>Dez!$J$40</f>
        <v>0</v>
      </c>
      <c r="J28" s="35"/>
      <c r="K28" s="310" t="s">
        <v>90</v>
      </c>
      <c r="L28" s="311">
        <f>SUM(D16:I16)+SUM(D28:I28)</f>
        <v>8</v>
      </c>
    </row>
    <row r="29" spans="1:10" ht="12.75">
      <c r="A29" s="24"/>
      <c r="B29" s="37"/>
      <c r="C29" s="37"/>
      <c r="D29" s="37"/>
      <c r="E29" s="37"/>
      <c r="F29" s="37"/>
      <c r="G29" s="31"/>
      <c r="H29" s="22"/>
      <c r="I29" s="32"/>
      <c r="J29" s="35"/>
    </row>
    <row r="30" spans="1:10" ht="37.5" customHeight="1">
      <c r="A30" s="24"/>
      <c r="B30" s="37"/>
      <c r="C30" s="176" t="s">
        <v>110</v>
      </c>
      <c r="D30" s="177" t="s">
        <v>111</v>
      </c>
      <c r="E30" s="489" t="s">
        <v>112</v>
      </c>
      <c r="F30" s="37"/>
      <c r="G30" s="31"/>
      <c r="H30" s="22"/>
      <c r="I30" s="32"/>
      <c r="J30" s="35"/>
    </row>
    <row r="31" spans="1:10" ht="12.75">
      <c r="A31" s="24"/>
      <c r="B31" s="37"/>
      <c r="C31" s="174" t="s">
        <v>97</v>
      </c>
      <c r="D31" s="175" t="s">
        <v>98</v>
      </c>
      <c r="E31" s="175" t="s">
        <v>99</v>
      </c>
      <c r="F31" s="37"/>
      <c r="G31" s="31"/>
      <c r="H31" s="22"/>
      <c r="I31" s="32"/>
      <c r="J31" s="35"/>
    </row>
    <row r="32" spans="1:10" ht="18">
      <c r="A32" s="25"/>
      <c r="B32" s="37"/>
      <c r="C32" s="174" t="s">
        <v>100</v>
      </c>
      <c r="D32" s="175" t="s">
        <v>101</v>
      </c>
      <c r="E32" s="175" t="s">
        <v>102</v>
      </c>
      <c r="F32" s="37"/>
      <c r="G32" s="31"/>
      <c r="H32" s="22"/>
      <c r="I32" s="32"/>
      <c r="J32" s="35"/>
    </row>
    <row r="33" spans="1:10" ht="12.75">
      <c r="A33" s="25"/>
      <c r="B33" s="25"/>
      <c r="C33" s="174" t="s">
        <v>40</v>
      </c>
      <c r="D33" s="175" t="s">
        <v>103</v>
      </c>
      <c r="E33" s="175" t="s">
        <v>104</v>
      </c>
      <c r="F33" s="26"/>
      <c r="G33" s="27"/>
      <c r="H33" s="26"/>
      <c r="I33" s="27"/>
      <c r="J33" s="36"/>
    </row>
    <row r="34" spans="1:13" ht="12.75">
      <c r="A34" s="24"/>
      <c r="B34" s="25"/>
      <c r="C34" s="174" t="s">
        <v>41</v>
      </c>
      <c r="D34" s="175" t="s">
        <v>105</v>
      </c>
      <c r="E34" s="175" t="s">
        <v>106</v>
      </c>
      <c r="F34" s="26"/>
      <c r="G34" s="27"/>
      <c r="H34" s="26"/>
      <c r="I34" s="27"/>
      <c r="J34" s="28"/>
      <c r="M34" s="515"/>
    </row>
    <row r="35" spans="1:13" ht="12.75">
      <c r="A35" s="25"/>
      <c r="B35" s="24"/>
      <c r="C35" s="174" t="s">
        <v>107</v>
      </c>
      <c r="D35" s="175" t="s">
        <v>108</v>
      </c>
      <c r="E35" s="175" t="s">
        <v>109</v>
      </c>
      <c r="F35" s="16"/>
      <c r="G35" s="29"/>
      <c r="H35" s="16"/>
      <c r="I35" s="29"/>
      <c r="J35" s="38"/>
      <c r="M35" s="516"/>
    </row>
    <row r="36" spans="1:13" ht="12.75">
      <c r="A36" s="24"/>
      <c r="B36" s="25"/>
      <c r="C36" s="25"/>
      <c r="D36" s="25"/>
      <c r="E36" s="25"/>
      <c r="F36" s="26"/>
      <c r="G36" s="27"/>
      <c r="H36" s="26"/>
      <c r="I36" s="27"/>
      <c r="J36" s="25"/>
      <c r="M36" s="515"/>
    </row>
    <row r="37" spans="1:10" ht="12.75">
      <c r="A37" s="24"/>
      <c r="B37" s="24"/>
      <c r="C37" s="16"/>
      <c r="D37" s="16"/>
      <c r="E37" s="16"/>
      <c r="F37" s="16"/>
      <c r="G37" s="29"/>
      <c r="H37" s="29"/>
      <c r="I37" s="29"/>
      <c r="J37" s="16"/>
    </row>
    <row r="38" spans="1:10" ht="12.75">
      <c r="A38" s="24"/>
      <c r="B38" s="24"/>
      <c r="C38" s="17"/>
      <c r="D38" s="17"/>
      <c r="E38" s="17"/>
      <c r="F38" s="18"/>
      <c r="G38" s="29"/>
      <c r="H38" s="16"/>
      <c r="I38" s="29"/>
      <c r="J38" s="24"/>
    </row>
    <row r="39" spans="1:10" ht="12.75">
      <c r="A39" s="24"/>
      <c r="B39" s="24"/>
      <c r="C39" s="17"/>
      <c r="D39" s="17"/>
      <c r="E39" s="17"/>
      <c r="F39" s="18"/>
      <c r="G39" s="29"/>
      <c r="H39" s="19"/>
      <c r="I39" s="39"/>
      <c r="J39" s="19"/>
    </row>
    <row r="40" spans="1:10" ht="12.75">
      <c r="A40" s="24"/>
      <c r="B40" s="24"/>
      <c r="C40" s="17"/>
      <c r="D40" s="17"/>
      <c r="E40" s="17"/>
      <c r="F40" s="23"/>
      <c r="G40" s="29"/>
      <c r="H40" s="16"/>
      <c r="I40" s="29"/>
      <c r="J40" s="24"/>
    </row>
    <row r="41" spans="1:10" ht="12.75">
      <c r="A41" s="24"/>
      <c r="B41" s="24"/>
      <c r="C41" s="24"/>
      <c r="D41" s="24"/>
      <c r="E41" s="24"/>
      <c r="F41" s="16"/>
      <c r="G41" s="29"/>
      <c r="H41" s="16"/>
      <c r="I41" s="29"/>
      <c r="J41" s="24"/>
    </row>
    <row r="42" spans="1:10" ht="12.75">
      <c r="A42" s="24"/>
      <c r="B42" s="24"/>
      <c r="C42" s="24"/>
      <c r="D42" s="24"/>
      <c r="E42" s="24"/>
      <c r="F42" s="16"/>
      <c r="G42" s="29"/>
      <c r="H42" s="16"/>
      <c r="I42" s="29"/>
      <c r="J42" s="24"/>
    </row>
    <row r="43" spans="1:10" ht="12.75">
      <c r="A43" s="24"/>
      <c r="B43" s="24"/>
      <c r="C43" s="24"/>
      <c r="D43" s="24"/>
      <c r="E43" s="24"/>
      <c r="F43" s="16"/>
      <c r="G43" s="29"/>
      <c r="H43" s="16"/>
      <c r="I43" s="29"/>
      <c r="J43" s="24"/>
    </row>
    <row r="44" spans="1:10" ht="12.75">
      <c r="A44" s="24"/>
      <c r="B44" s="24"/>
      <c r="C44" s="40"/>
      <c r="D44" s="24"/>
      <c r="E44" s="24"/>
      <c r="F44" s="16"/>
      <c r="G44" s="29"/>
      <c r="H44" s="16"/>
      <c r="I44" s="29"/>
      <c r="J44" s="24"/>
    </row>
    <row r="45" spans="1:10" ht="12.75">
      <c r="A45" s="24"/>
      <c r="B45" s="24"/>
      <c r="C45" s="40"/>
      <c r="D45" s="24"/>
      <c r="E45" s="24"/>
      <c r="F45" s="16"/>
      <c r="G45" s="29"/>
      <c r="H45" s="16"/>
      <c r="I45" s="29"/>
      <c r="J45" s="24"/>
    </row>
    <row r="46" spans="1:10" ht="12.75">
      <c r="A46" s="24"/>
      <c r="B46" s="24"/>
      <c r="C46" s="40"/>
      <c r="D46" s="24"/>
      <c r="E46" s="24"/>
      <c r="F46" s="16"/>
      <c r="G46" s="29"/>
      <c r="H46" s="16"/>
      <c r="I46" s="29"/>
      <c r="J46" s="24"/>
    </row>
    <row r="47" spans="1:10" ht="12.75">
      <c r="A47" s="24"/>
      <c r="B47" s="24"/>
      <c r="C47" s="40"/>
      <c r="D47" s="24"/>
      <c r="E47" s="24"/>
      <c r="F47" s="16"/>
      <c r="G47" s="29"/>
      <c r="H47" s="16"/>
      <c r="I47" s="29"/>
      <c r="J47" s="24"/>
    </row>
    <row r="48" spans="1:10" ht="12.75">
      <c r="A48" s="24"/>
      <c r="B48" s="24"/>
      <c r="C48" s="40"/>
      <c r="D48" s="24"/>
      <c r="E48" s="24"/>
      <c r="F48" s="16"/>
      <c r="G48" s="29"/>
      <c r="H48" s="16"/>
      <c r="I48" s="29"/>
      <c r="J48" s="24"/>
    </row>
    <row r="49" spans="1:10" ht="12.75">
      <c r="A49" s="24"/>
      <c r="B49" s="24"/>
      <c r="C49" s="40"/>
      <c r="D49" s="24"/>
      <c r="E49" s="24"/>
      <c r="F49" s="16"/>
      <c r="G49" s="29"/>
      <c r="H49" s="16"/>
      <c r="I49" s="29"/>
      <c r="J49" s="24"/>
    </row>
    <row r="50" spans="1:10" ht="12.75">
      <c r="A50" s="24"/>
      <c r="B50" s="24"/>
      <c r="C50" s="40"/>
      <c r="D50" s="24"/>
      <c r="E50" s="24"/>
      <c r="F50" s="16"/>
      <c r="G50" s="29"/>
      <c r="H50" s="16"/>
      <c r="I50" s="29"/>
      <c r="J50" s="24"/>
    </row>
    <row r="51" spans="1:10" ht="12.75">
      <c r="A51" s="24"/>
      <c r="B51" s="24"/>
      <c r="C51" s="40"/>
      <c r="D51" s="24"/>
      <c r="E51" s="24"/>
      <c r="F51" s="16"/>
      <c r="G51" s="29"/>
      <c r="H51" s="16"/>
      <c r="I51" s="29"/>
      <c r="J51" s="29"/>
    </row>
    <row r="52" spans="1:10" ht="12.75">
      <c r="A52" s="24"/>
      <c r="B52" s="24"/>
      <c r="C52" s="24"/>
      <c r="D52" s="20"/>
      <c r="E52" s="41"/>
      <c r="F52" s="16"/>
      <c r="G52" s="29"/>
      <c r="H52" s="16"/>
      <c r="I52" s="29"/>
      <c r="J52" s="24"/>
    </row>
    <row r="53" spans="1:10" ht="12.75">
      <c r="A53" s="24"/>
      <c r="B53" s="24"/>
      <c r="C53" s="24"/>
      <c r="D53" s="42"/>
      <c r="E53" s="41"/>
      <c r="F53" s="16"/>
      <c r="G53" s="29"/>
      <c r="H53" s="41"/>
      <c r="I53" s="29"/>
      <c r="J53" s="24"/>
    </row>
    <row r="54" spans="1:10" ht="12.75">
      <c r="A54" s="24"/>
      <c r="B54" s="24"/>
      <c r="C54" s="24"/>
      <c r="D54" s="24"/>
      <c r="E54" s="24"/>
      <c r="F54" s="16"/>
      <c r="G54" s="29"/>
      <c r="H54" s="16"/>
      <c r="I54" s="29"/>
      <c r="J54" s="24"/>
    </row>
    <row r="55" spans="1:10" ht="12.75">
      <c r="A55" s="24"/>
      <c r="B55" s="24"/>
      <c r="C55" s="24"/>
      <c r="D55" s="24"/>
      <c r="E55" s="24"/>
      <c r="F55" s="16"/>
      <c r="G55" s="29"/>
      <c r="H55" s="16"/>
      <c r="I55" s="29"/>
      <c r="J55" s="24"/>
    </row>
    <row r="56" spans="1:10" ht="12.75">
      <c r="A56" s="24"/>
      <c r="B56" s="24"/>
      <c r="C56" s="24"/>
      <c r="D56" s="24"/>
      <c r="E56" s="24"/>
      <c r="F56" s="16"/>
      <c r="G56" s="29"/>
      <c r="H56" s="16"/>
      <c r="I56" s="29"/>
      <c r="J56" s="24"/>
    </row>
    <row r="57" spans="1:10" ht="12.75">
      <c r="A57" s="24"/>
      <c r="B57" s="24"/>
      <c r="C57" s="24"/>
      <c r="D57" s="24"/>
      <c r="E57" s="24"/>
      <c r="F57" s="16"/>
      <c r="G57" s="29"/>
      <c r="H57" s="16"/>
      <c r="I57" s="29"/>
      <c r="J57" s="24"/>
    </row>
    <row r="58" spans="1:10" ht="12.75">
      <c r="A58" s="24"/>
      <c r="B58" s="24"/>
      <c r="C58" s="24"/>
      <c r="D58" s="24"/>
      <c r="E58" s="24"/>
      <c r="F58" s="16"/>
      <c r="G58" s="29"/>
      <c r="H58" s="16"/>
      <c r="I58" s="29"/>
      <c r="J58" s="24"/>
    </row>
    <row r="59" spans="1:10" ht="12.75">
      <c r="A59" s="24"/>
      <c r="B59" s="24"/>
      <c r="C59" s="24"/>
      <c r="D59" s="24"/>
      <c r="E59" s="24"/>
      <c r="F59" s="16"/>
      <c r="G59" s="29"/>
      <c r="H59" s="16"/>
      <c r="I59" s="29"/>
      <c r="J59" s="24"/>
    </row>
  </sheetData>
  <sheetProtection/>
  <conditionalFormatting sqref="E52">
    <cfRule type="cellIs" priority="1" dxfId="252" operator="equal" stopIfTrue="1">
      <formula>3</formula>
    </cfRule>
    <cfRule type="cellIs" priority="2" dxfId="251" operator="equal" stopIfTrue="1">
      <formula>1</formula>
    </cfRule>
    <cfRule type="cellIs" priority="3" dxfId="250" operator="equal" stopIfTrue="1">
      <formula>2</formula>
    </cfRule>
  </conditionalFormatting>
  <conditionalFormatting sqref="J19">
    <cfRule type="cellIs" priority="4" dxfId="244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1:O52"/>
  <sheetViews>
    <sheetView zoomScalePageLayoutView="0" workbookViewId="0" topLeftCell="A1">
      <selection activeCell="L35" sqref="L35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1" ht="12.75">
      <c r="B1" t="s">
        <v>319</v>
      </c>
    </row>
    <row r="2" spans="2:15" ht="12.75">
      <c r="B2" s="312" t="s">
        <v>181</v>
      </c>
      <c r="C2" s="313">
        <f>gewJahr</f>
        <v>2015</v>
      </c>
      <c r="D2" s="80" t="str">
        <f>Stammdaten!B6&amp;", "&amp;Stammdaten!B7&amp;", "&amp;Stammdaten!B8</f>
        <v>Mustermann, Hans, Hauptstrasse 23, 10062 Berlin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ht="4.5" customHeight="1"/>
    <row r="5" spans="3:15" ht="12.75">
      <c r="C5" s="333" t="s">
        <v>54</v>
      </c>
      <c r="D5" s="316" t="s">
        <v>191</v>
      </c>
      <c r="E5" s="316" t="s">
        <v>192</v>
      </c>
      <c r="F5" s="316" t="s">
        <v>68</v>
      </c>
      <c r="G5" s="316" t="s">
        <v>69</v>
      </c>
      <c r="H5" s="316" t="s">
        <v>193</v>
      </c>
      <c r="I5" s="316" t="s">
        <v>71</v>
      </c>
      <c r="J5" s="316" t="s">
        <v>194</v>
      </c>
      <c r="K5" s="316" t="s">
        <v>195</v>
      </c>
      <c r="L5" s="316" t="s">
        <v>196</v>
      </c>
      <c r="M5" s="316" t="s">
        <v>197</v>
      </c>
      <c r="N5" s="316" t="s">
        <v>198</v>
      </c>
      <c r="O5" s="316" t="s">
        <v>199</v>
      </c>
    </row>
    <row r="6" spans="2:15" ht="12.75">
      <c r="B6" s="350" t="s">
        <v>219</v>
      </c>
      <c r="C6" s="347"/>
      <c r="D6" s="348">
        <v>42325</v>
      </c>
      <c r="E6" s="348"/>
      <c r="F6" s="348" t="s">
        <v>166</v>
      </c>
      <c r="G6" s="348" t="s">
        <v>166</v>
      </c>
      <c r="H6" s="348"/>
      <c r="I6" s="348"/>
      <c r="J6" s="349"/>
      <c r="K6" s="349"/>
      <c r="L6" s="348"/>
      <c r="M6" s="349"/>
      <c r="N6" s="348"/>
      <c r="O6" s="348">
        <v>42325</v>
      </c>
    </row>
    <row r="7" spans="2:15" ht="12.75">
      <c r="B7" s="219" t="s">
        <v>215</v>
      </c>
      <c r="C7" s="331">
        <f>SUM(D7:O7)</f>
        <v>47736</v>
      </c>
      <c r="D7" s="330">
        <v>3978</v>
      </c>
      <c r="E7" s="330">
        <v>3978</v>
      </c>
      <c r="F7" s="330">
        <v>3978</v>
      </c>
      <c r="G7" s="330">
        <v>3978</v>
      </c>
      <c r="H7" s="330">
        <v>3978</v>
      </c>
      <c r="I7" s="330">
        <v>3978</v>
      </c>
      <c r="J7" s="330">
        <v>3978</v>
      </c>
      <c r="K7" s="330">
        <v>3978</v>
      </c>
      <c r="L7" s="330">
        <v>3978</v>
      </c>
      <c r="M7" s="330">
        <v>3978</v>
      </c>
      <c r="N7" s="330">
        <v>3978</v>
      </c>
      <c r="O7" s="330">
        <v>3978</v>
      </c>
    </row>
    <row r="8" spans="2:15" ht="3" customHeight="1">
      <c r="B8" s="219"/>
      <c r="C8" s="332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2:15" ht="11.25" customHeight="1">
      <c r="B9" s="219" t="s">
        <v>208</v>
      </c>
      <c r="C9" s="331">
        <f>SUM(D9:O9)</f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</row>
    <row r="10" spans="2:15" ht="3" customHeight="1">
      <c r="B10" s="219"/>
      <c r="C10" s="332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2:15" ht="12.75">
      <c r="B11" s="219" t="s">
        <v>209</v>
      </c>
      <c r="C11" s="331">
        <f>SUM(D11:O11)</f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</row>
    <row r="12" spans="2:15" ht="3.75" customHeight="1">
      <c r="B12" s="219"/>
      <c r="C12" s="332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2:15" ht="12.75">
      <c r="B13" s="219" t="s">
        <v>200</v>
      </c>
      <c r="C13" s="331">
        <f>SUM(D13:O13)</f>
        <v>8763</v>
      </c>
      <c r="D13" s="328">
        <v>732.08</v>
      </c>
      <c r="E13" s="328">
        <v>732.08</v>
      </c>
      <c r="F13" s="328">
        <v>732.08</v>
      </c>
      <c r="G13" s="328">
        <v>732.08</v>
      </c>
      <c r="H13" s="328">
        <v>732.08</v>
      </c>
      <c r="I13" s="328">
        <v>732.08</v>
      </c>
      <c r="J13" s="328">
        <v>732.08</v>
      </c>
      <c r="K13" s="328">
        <v>732.08</v>
      </c>
      <c r="L13" s="328">
        <v>732.08</v>
      </c>
      <c r="M13" s="328">
        <v>732.08</v>
      </c>
      <c r="N13" s="328">
        <v>732.08</v>
      </c>
      <c r="O13" s="328">
        <v>710.12</v>
      </c>
    </row>
    <row r="14" spans="2:15" ht="3" customHeight="1">
      <c r="B14" s="219"/>
      <c r="C14" s="332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</row>
    <row r="15" spans="2:15" ht="12.75">
      <c r="B15" s="219" t="s">
        <v>27</v>
      </c>
      <c r="C15" s="331">
        <f>SUM(D15:O15)</f>
        <v>481.96</v>
      </c>
      <c r="D15" s="328">
        <v>40.26</v>
      </c>
      <c r="E15" s="328">
        <v>40.26</v>
      </c>
      <c r="F15" s="328">
        <v>40.26</v>
      </c>
      <c r="G15" s="328">
        <v>40.26</v>
      </c>
      <c r="H15" s="328">
        <v>40.26</v>
      </c>
      <c r="I15" s="328">
        <v>40.26</v>
      </c>
      <c r="J15" s="328">
        <v>40.26</v>
      </c>
      <c r="K15" s="328">
        <v>40.26</v>
      </c>
      <c r="L15" s="328">
        <v>40.26</v>
      </c>
      <c r="M15" s="328">
        <v>40.26</v>
      </c>
      <c r="N15" s="328">
        <v>40.26</v>
      </c>
      <c r="O15" s="328">
        <v>39.1</v>
      </c>
    </row>
    <row r="16" spans="2:15" ht="3.75" customHeight="1">
      <c r="B16" s="219"/>
      <c r="C16" s="332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2:15" ht="12.75">
      <c r="B17" s="219" t="s">
        <v>28</v>
      </c>
      <c r="C17" s="331">
        <f>SUM(D17:O17)</f>
        <v>788.67</v>
      </c>
      <c r="D17" s="328">
        <v>65.88</v>
      </c>
      <c r="E17" s="328">
        <v>65.88</v>
      </c>
      <c r="F17" s="328">
        <v>65.88</v>
      </c>
      <c r="G17" s="328">
        <v>65.88</v>
      </c>
      <c r="H17" s="328">
        <v>65.88</v>
      </c>
      <c r="I17" s="328">
        <v>65.88</v>
      </c>
      <c r="J17" s="328">
        <v>65.88</v>
      </c>
      <c r="K17" s="328">
        <v>65.88</v>
      </c>
      <c r="L17" s="328">
        <v>65.88</v>
      </c>
      <c r="M17" s="328">
        <v>65.88</v>
      </c>
      <c r="N17" s="328">
        <v>65.88</v>
      </c>
      <c r="O17" s="328">
        <v>63.99</v>
      </c>
    </row>
    <row r="18" spans="2:15" ht="3.75" customHeight="1">
      <c r="B18" s="219"/>
      <c r="C18" s="332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</row>
    <row r="19" spans="2:15" ht="12.75">
      <c r="B19" s="219" t="s">
        <v>201</v>
      </c>
      <c r="C19" s="331">
        <f>SUM(D19:O19)</f>
        <v>3914.399999999999</v>
      </c>
      <c r="D19" s="328">
        <v>326.2</v>
      </c>
      <c r="E19" s="328">
        <v>326.2</v>
      </c>
      <c r="F19" s="328">
        <v>326.2</v>
      </c>
      <c r="G19" s="328">
        <v>326.2</v>
      </c>
      <c r="H19" s="328">
        <v>326.2</v>
      </c>
      <c r="I19" s="328">
        <v>326.2</v>
      </c>
      <c r="J19" s="328">
        <v>326.2</v>
      </c>
      <c r="K19" s="328">
        <v>326.2</v>
      </c>
      <c r="L19" s="328">
        <v>326.2</v>
      </c>
      <c r="M19" s="328">
        <v>326.2</v>
      </c>
      <c r="N19" s="328">
        <v>326.2</v>
      </c>
      <c r="O19" s="328">
        <v>326.2</v>
      </c>
    </row>
    <row r="20" spans="2:15" ht="12.75">
      <c r="B20" s="219" t="s">
        <v>202</v>
      </c>
      <c r="C20" s="331">
        <f>SUM(D20:O20)</f>
        <v>4463.28</v>
      </c>
      <c r="D20" s="328">
        <v>371.94</v>
      </c>
      <c r="E20" s="328">
        <v>371.94</v>
      </c>
      <c r="F20" s="328">
        <v>371.94</v>
      </c>
      <c r="G20" s="328">
        <v>371.94</v>
      </c>
      <c r="H20" s="328">
        <v>371.94</v>
      </c>
      <c r="I20" s="328">
        <v>371.94</v>
      </c>
      <c r="J20" s="328">
        <v>371.94</v>
      </c>
      <c r="K20" s="328">
        <v>371.94</v>
      </c>
      <c r="L20" s="328">
        <v>371.94</v>
      </c>
      <c r="M20" s="328">
        <v>371.94</v>
      </c>
      <c r="N20" s="328">
        <v>371.94</v>
      </c>
      <c r="O20" s="328">
        <v>371.94</v>
      </c>
    </row>
    <row r="21" spans="2:15" ht="12.75">
      <c r="B21" s="219" t="s">
        <v>210</v>
      </c>
      <c r="C21" s="331">
        <f>SUM(D21:O21)</f>
        <v>716.04</v>
      </c>
      <c r="D21" s="328">
        <v>59.67</v>
      </c>
      <c r="E21" s="328">
        <v>59.67</v>
      </c>
      <c r="F21" s="328">
        <v>59.67</v>
      </c>
      <c r="G21" s="328">
        <v>59.67</v>
      </c>
      <c r="H21" s="328">
        <v>59.67</v>
      </c>
      <c r="I21" s="328">
        <v>59.67</v>
      </c>
      <c r="J21" s="328">
        <v>59.67</v>
      </c>
      <c r="K21" s="328">
        <v>59.67</v>
      </c>
      <c r="L21" s="328">
        <v>59.67</v>
      </c>
      <c r="M21" s="328">
        <v>59.67</v>
      </c>
      <c r="N21" s="328">
        <v>59.67</v>
      </c>
      <c r="O21" s="328">
        <v>59.67</v>
      </c>
    </row>
    <row r="22" spans="2:15" ht="12.75">
      <c r="B22" s="219" t="s">
        <v>203</v>
      </c>
      <c r="C22" s="331">
        <f>SUM(D22:O22)</f>
        <v>680.28</v>
      </c>
      <c r="D22" s="329">
        <v>56.69</v>
      </c>
      <c r="E22" s="329">
        <v>56.69</v>
      </c>
      <c r="F22" s="329">
        <v>56.69</v>
      </c>
      <c r="G22" s="329">
        <v>56.69</v>
      </c>
      <c r="H22" s="329">
        <v>56.69</v>
      </c>
      <c r="I22" s="329">
        <v>56.69</v>
      </c>
      <c r="J22" s="329">
        <v>56.69</v>
      </c>
      <c r="K22" s="329">
        <v>56.69</v>
      </c>
      <c r="L22" s="329">
        <v>56.69</v>
      </c>
      <c r="M22" s="329">
        <v>56.69</v>
      </c>
      <c r="N22" s="329">
        <v>56.69</v>
      </c>
      <c r="O22" s="329">
        <v>56.69</v>
      </c>
    </row>
    <row r="23" spans="2:15" ht="12.75">
      <c r="B23" s="219"/>
      <c r="C23" s="332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</row>
    <row r="24" spans="2:15" ht="12.75">
      <c r="B24" s="219"/>
      <c r="C24" s="332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2:15" ht="12.75">
      <c r="B25" s="219" t="s">
        <v>204</v>
      </c>
      <c r="C25" s="331">
        <f aca="true" t="shared" si="0" ref="C25:C32">SUM(D25:O25)</f>
        <v>3484.679999999999</v>
      </c>
      <c r="D25" s="328">
        <v>290.39</v>
      </c>
      <c r="E25" s="328">
        <v>290.39</v>
      </c>
      <c r="F25" s="328">
        <v>290.39</v>
      </c>
      <c r="G25" s="328">
        <v>290.39</v>
      </c>
      <c r="H25" s="328">
        <v>290.39</v>
      </c>
      <c r="I25" s="328">
        <v>290.39</v>
      </c>
      <c r="J25" s="328">
        <v>290.39</v>
      </c>
      <c r="K25" s="328">
        <v>290.39</v>
      </c>
      <c r="L25" s="328">
        <v>290.39</v>
      </c>
      <c r="M25" s="328">
        <v>290.39</v>
      </c>
      <c r="N25" s="328">
        <v>290.39</v>
      </c>
      <c r="O25" s="328">
        <v>290.39</v>
      </c>
    </row>
    <row r="26" spans="2:15" ht="12.75">
      <c r="B26" s="219" t="s">
        <v>205</v>
      </c>
      <c r="C26" s="331">
        <f t="shared" si="0"/>
        <v>4463.28</v>
      </c>
      <c r="D26" s="328">
        <v>371.94</v>
      </c>
      <c r="E26" s="328">
        <v>371.94</v>
      </c>
      <c r="F26" s="328">
        <v>371.94</v>
      </c>
      <c r="G26" s="328">
        <v>371.94</v>
      </c>
      <c r="H26" s="328">
        <v>371.94</v>
      </c>
      <c r="I26" s="328">
        <v>371.94</v>
      </c>
      <c r="J26" s="328">
        <v>371.94</v>
      </c>
      <c r="K26" s="328">
        <v>371.94</v>
      </c>
      <c r="L26" s="328">
        <v>371.94</v>
      </c>
      <c r="M26" s="328">
        <v>371.94</v>
      </c>
      <c r="N26" s="328">
        <v>371.94</v>
      </c>
      <c r="O26" s="328">
        <v>371.94</v>
      </c>
    </row>
    <row r="27" spans="2:15" ht="12.75">
      <c r="B27" s="219" t="s">
        <v>207</v>
      </c>
      <c r="C27" s="331">
        <f t="shared" si="0"/>
        <v>716.04</v>
      </c>
      <c r="D27" s="328">
        <v>59.67</v>
      </c>
      <c r="E27" s="328">
        <v>59.67</v>
      </c>
      <c r="F27" s="328">
        <v>59.67</v>
      </c>
      <c r="G27" s="328">
        <v>59.67</v>
      </c>
      <c r="H27" s="328">
        <v>59.67</v>
      </c>
      <c r="I27" s="328">
        <v>59.67</v>
      </c>
      <c r="J27" s="328">
        <v>59.67</v>
      </c>
      <c r="K27" s="328">
        <v>59.67</v>
      </c>
      <c r="L27" s="328">
        <v>59.67</v>
      </c>
      <c r="M27" s="328">
        <v>59.67</v>
      </c>
      <c r="N27" s="328">
        <v>59.67</v>
      </c>
      <c r="O27" s="328">
        <v>59.67</v>
      </c>
    </row>
    <row r="28" spans="2:15" ht="12.75">
      <c r="B28" s="219" t="s">
        <v>206</v>
      </c>
      <c r="C28" s="331">
        <f t="shared" si="0"/>
        <v>560.88</v>
      </c>
      <c r="D28" s="328">
        <v>46.74</v>
      </c>
      <c r="E28" s="328">
        <v>46.74</v>
      </c>
      <c r="F28" s="328">
        <v>46.74</v>
      </c>
      <c r="G28" s="328">
        <v>46.74</v>
      </c>
      <c r="H28" s="328">
        <v>46.74</v>
      </c>
      <c r="I28" s="328">
        <v>46.74</v>
      </c>
      <c r="J28" s="328">
        <v>46.74</v>
      </c>
      <c r="K28" s="328">
        <v>46.74</v>
      </c>
      <c r="L28" s="328">
        <v>46.74</v>
      </c>
      <c r="M28" s="328">
        <v>46.74</v>
      </c>
      <c r="N28" s="328">
        <v>46.74</v>
      </c>
      <c r="O28" s="328">
        <v>46.74</v>
      </c>
    </row>
    <row r="29" spans="2:15" ht="12.75">
      <c r="B29" s="219" t="s">
        <v>211</v>
      </c>
      <c r="C29" s="331">
        <f t="shared" si="0"/>
        <v>1575.24</v>
      </c>
      <c r="D29" s="328">
        <v>131.27</v>
      </c>
      <c r="E29" s="328">
        <v>131.27</v>
      </c>
      <c r="F29" s="328">
        <v>131.27</v>
      </c>
      <c r="G29" s="328">
        <v>131.27</v>
      </c>
      <c r="H29" s="328">
        <v>131.27</v>
      </c>
      <c r="I29" s="328">
        <v>131.27</v>
      </c>
      <c r="J29" s="328">
        <v>131.27</v>
      </c>
      <c r="K29" s="328">
        <v>131.27</v>
      </c>
      <c r="L29" s="328">
        <v>131.27</v>
      </c>
      <c r="M29" s="328">
        <v>131.27</v>
      </c>
      <c r="N29" s="328">
        <v>131.27</v>
      </c>
      <c r="O29" s="328">
        <v>131.27</v>
      </c>
    </row>
    <row r="30" spans="2:15" ht="12.75">
      <c r="B30" s="219" t="s">
        <v>255</v>
      </c>
      <c r="C30" s="331">
        <f t="shared" si="0"/>
        <v>157.55999999999997</v>
      </c>
      <c r="D30" s="328">
        <v>13.13</v>
      </c>
      <c r="E30" s="328">
        <v>13.13</v>
      </c>
      <c r="F30" s="328">
        <v>13.13</v>
      </c>
      <c r="G30" s="328">
        <v>13.13</v>
      </c>
      <c r="H30" s="328">
        <v>13.13</v>
      </c>
      <c r="I30" s="328">
        <v>13.13</v>
      </c>
      <c r="J30" s="328">
        <v>13.13</v>
      </c>
      <c r="K30" s="328">
        <v>13.13</v>
      </c>
      <c r="L30" s="328">
        <v>13.13</v>
      </c>
      <c r="M30" s="328">
        <v>13.13</v>
      </c>
      <c r="N30" s="328">
        <v>13.13</v>
      </c>
      <c r="O30" s="328">
        <v>13.13</v>
      </c>
    </row>
    <row r="31" spans="2:15" ht="12.75">
      <c r="B31" s="219" t="s">
        <v>212</v>
      </c>
      <c r="C31" s="331">
        <f t="shared" si="0"/>
        <v>300.71999999999997</v>
      </c>
      <c r="D31" s="328">
        <v>25.06</v>
      </c>
      <c r="E31" s="328">
        <v>25.06</v>
      </c>
      <c r="F31" s="328">
        <v>25.06</v>
      </c>
      <c r="G31" s="328">
        <v>25.06</v>
      </c>
      <c r="H31" s="328">
        <v>25.06</v>
      </c>
      <c r="I31" s="328">
        <v>25.06</v>
      </c>
      <c r="J31" s="328">
        <v>25.06</v>
      </c>
      <c r="K31" s="328">
        <v>25.06</v>
      </c>
      <c r="L31" s="328">
        <v>25.06</v>
      </c>
      <c r="M31" s="328">
        <v>25.06</v>
      </c>
      <c r="N31" s="328">
        <v>25.06</v>
      </c>
      <c r="O31" s="328">
        <v>25.06</v>
      </c>
    </row>
    <row r="32" spans="2:15" ht="12.75">
      <c r="B32" s="219" t="s">
        <v>262</v>
      </c>
      <c r="C32" s="331">
        <f t="shared" si="0"/>
        <v>41.920000000000016</v>
      </c>
      <c r="D32" s="328">
        <v>3.49</v>
      </c>
      <c r="E32" s="328">
        <v>3.49</v>
      </c>
      <c r="F32" s="328">
        <v>3.49</v>
      </c>
      <c r="G32" s="328">
        <v>3.49</v>
      </c>
      <c r="H32" s="328">
        <v>3.49</v>
      </c>
      <c r="I32" s="328">
        <v>3.49</v>
      </c>
      <c r="J32" s="328">
        <v>3.49</v>
      </c>
      <c r="K32" s="328">
        <v>3.49</v>
      </c>
      <c r="L32" s="328">
        <v>3.49</v>
      </c>
      <c r="M32" s="328">
        <v>3.49</v>
      </c>
      <c r="N32" s="328">
        <v>3.49</v>
      </c>
      <c r="O32" s="328">
        <v>3.53</v>
      </c>
    </row>
    <row r="34" spans="2:5" ht="12.75">
      <c r="B34" s="588" t="s">
        <v>304</v>
      </c>
      <c r="C34" s="589"/>
      <c r="D34" s="590">
        <f>Stammdaten!C26</f>
        <v>0</v>
      </c>
      <c r="E34" s="219" t="s">
        <v>22</v>
      </c>
    </row>
    <row r="35" spans="2:12" ht="12.75">
      <c r="B35" s="588" t="s">
        <v>305</v>
      </c>
      <c r="C35" s="589"/>
      <c r="D35" s="590">
        <f>Stammdaten!C27</f>
        <v>0</v>
      </c>
      <c r="E35" s="219" t="s">
        <v>22</v>
      </c>
      <c r="L35" s="346"/>
    </row>
    <row r="36" spans="2:5" ht="12.75">
      <c r="B36" s="219" t="s">
        <v>307</v>
      </c>
      <c r="D36" s="595">
        <f>SUM(Lohnkonto!D9:Lohnkonto!O9)-(Gehaltsabrechnung!G14+Gehaltsabrechnung!G15+Gehaltsabrechnung!G16)</f>
        <v>0</v>
      </c>
      <c r="E36" s="219" t="s">
        <v>22</v>
      </c>
    </row>
    <row r="52" ht="12.75">
      <c r="G52" s="596">
        <v>3978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L58"/>
  <sheetViews>
    <sheetView defaultGridColor="0" zoomScalePageLayoutView="0" colorId="46" workbookViewId="0" topLeftCell="A25">
      <selection activeCell="F18" sqref="F18"/>
    </sheetView>
  </sheetViews>
  <sheetFormatPr defaultColWidth="15.8515625" defaultRowHeight="12.75"/>
  <cols>
    <col min="1" max="1" width="3.8515625" style="372" customWidth="1"/>
    <col min="2" max="2" width="9.7109375" style="372" customWidth="1"/>
    <col min="3" max="3" width="19.00390625" style="372" customWidth="1"/>
    <col min="4" max="4" width="8.140625" style="372" customWidth="1"/>
    <col min="5" max="5" width="11.421875" style="375" customWidth="1"/>
    <col min="6" max="6" width="12.28125" style="372" customWidth="1"/>
    <col min="7" max="7" width="15.57421875" style="376" customWidth="1"/>
    <col min="8" max="8" width="11.00390625" style="372" customWidth="1"/>
    <col min="9" max="9" width="7.57421875" style="372" customWidth="1"/>
    <col min="10" max="16384" width="15.8515625" style="372" customWidth="1"/>
  </cols>
  <sheetData>
    <row r="1" spans="2:8" ht="32.25" customHeight="1">
      <c r="B1" s="647" t="s">
        <v>319</v>
      </c>
      <c r="C1" s="648"/>
      <c r="D1" s="648"/>
      <c r="E1" s="370"/>
      <c r="F1" s="370"/>
      <c r="G1" s="371"/>
      <c r="H1" s="370"/>
    </row>
    <row r="2" spans="2:10" ht="13.5">
      <c r="B2" s="372" t="s">
        <v>165</v>
      </c>
      <c r="C2" s="373" t="s">
        <v>77</v>
      </c>
      <c r="D2" s="374"/>
      <c r="I2" s="317"/>
      <c r="J2" s="377" t="s">
        <v>214</v>
      </c>
    </row>
    <row r="3" spans="2:10" ht="13.5">
      <c r="B3" s="378" t="s">
        <v>126</v>
      </c>
      <c r="C3" s="379" t="str">
        <f>Stammdaten!B6</f>
        <v>Mustermann, Hans</v>
      </c>
      <c r="J3" s="380" t="s">
        <v>186</v>
      </c>
    </row>
    <row r="4" spans="2:7" ht="13.5">
      <c r="B4" s="381" t="s">
        <v>127</v>
      </c>
      <c r="C4" s="382" t="str">
        <f>Stammdaten!B7</f>
        <v>Hauptstrasse 23</v>
      </c>
      <c r="D4" s="383"/>
      <c r="E4" s="493"/>
      <c r="F4" s="494"/>
      <c r="G4" s="494"/>
    </row>
    <row r="5" spans="2:10" ht="13.5">
      <c r="B5" s="381" t="s">
        <v>128</v>
      </c>
      <c r="C5" s="382" t="str">
        <f>Stammdaten!B8</f>
        <v>10062 Berlin</v>
      </c>
      <c r="D5" s="383"/>
      <c r="E5" s="494"/>
      <c r="F5" s="494"/>
      <c r="G5" s="494"/>
      <c r="I5" s="384" t="s">
        <v>190</v>
      </c>
      <c r="J5" s="372" t="s">
        <v>187</v>
      </c>
    </row>
    <row r="6" spans="2:10" ht="12.75">
      <c r="B6" s="385" t="s">
        <v>220</v>
      </c>
      <c r="C6" s="386">
        <f ca="1">TODAY()</f>
        <v>42373</v>
      </c>
      <c r="D6" s="383"/>
      <c r="E6" s="196"/>
      <c r="F6" s="372" t="s">
        <v>182</v>
      </c>
      <c r="G6" s="387">
        <f>Stammdaten!$C$23</f>
        <v>19460</v>
      </c>
      <c r="I6" s="388" t="s">
        <v>190</v>
      </c>
      <c r="J6" s="389" t="s">
        <v>188</v>
      </c>
    </row>
    <row r="7" spans="2:10" ht="12.75">
      <c r="B7" s="381"/>
      <c r="C7" s="390" t="s">
        <v>129</v>
      </c>
      <c r="D7" s="383"/>
      <c r="E7" s="391">
        <f>Stammdaten!$C$15</f>
        <v>0</v>
      </c>
      <c r="F7" s="392" t="s">
        <v>289</v>
      </c>
      <c r="G7" s="393" t="str">
        <f>IF(Stammdaten!$C$20=1,"ja","nein")</f>
        <v>ja</v>
      </c>
      <c r="J7" s="389" t="s">
        <v>189</v>
      </c>
    </row>
    <row r="8" spans="2:10" ht="12.75">
      <c r="B8" s="381"/>
      <c r="C8" s="390" t="s">
        <v>291</v>
      </c>
      <c r="D8" s="383"/>
      <c r="E8" s="394" t="str">
        <f>IF(Stammdaten!$C$21=1,"ja","nein")</f>
        <v>nein</v>
      </c>
      <c r="F8" s="392" t="s">
        <v>290</v>
      </c>
      <c r="G8" s="393" t="str">
        <f>IF(Stammdaten!$C$22=1,"ja","nein")</f>
        <v>nein</v>
      </c>
      <c r="J8" s="389" t="s">
        <v>221</v>
      </c>
    </row>
    <row r="9" spans="2:10" ht="12.75">
      <c r="B9" s="381"/>
      <c r="C9" s="390" t="s">
        <v>130</v>
      </c>
      <c r="D9" s="383"/>
      <c r="E9" s="586">
        <f>Stammdaten!$C$26</f>
        <v>0</v>
      </c>
      <c r="F9" s="395" t="s">
        <v>142</v>
      </c>
      <c r="G9" s="396">
        <v>0</v>
      </c>
      <c r="I9" s="384" t="s">
        <v>190</v>
      </c>
      <c r="J9" s="525" t="s">
        <v>309</v>
      </c>
    </row>
    <row r="10" spans="2:10" ht="12.75">
      <c r="B10" s="381"/>
      <c r="C10" s="390" t="s">
        <v>42</v>
      </c>
      <c r="D10" s="383"/>
      <c r="E10" s="586">
        <f>Stammdaten!$C$27</f>
        <v>0</v>
      </c>
      <c r="F10" s="397" t="s">
        <v>143</v>
      </c>
      <c r="G10" s="398">
        <v>22</v>
      </c>
      <c r="J10" s="525" t="s">
        <v>310</v>
      </c>
    </row>
    <row r="11" spans="2:10" ht="12.75">
      <c r="B11" s="399"/>
      <c r="C11" s="399"/>
      <c r="D11" s="399"/>
      <c r="E11" s="400"/>
      <c r="F11" s="399"/>
      <c r="G11" s="401"/>
      <c r="H11" s="389"/>
      <c r="I11" s="384" t="s">
        <v>190</v>
      </c>
      <c r="J11" s="378" t="s">
        <v>294</v>
      </c>
    </row>
    <row r="12" spans="2:10" ht="12.75">
      <c r="B12" s="402"/>
      <c r="E12" s="509" t="s">
        <v>257</v>
      </c>
      <c r="F12" s="509" t="s">
        <v>256</v>
      </c>
      <c r="G12" s="508"/>
      <c r="H12" s="389"/>
      <c r="J12" s="378" t="s">
        <v>295</v>
      </c>
    </row>
    <row r="13" spans="2:10" ht="12.75">
      <c r="B13" s="403"/>
      <c r="C13" s="488" t="s">
        <v>259</v>
      </c>
      <c r="D13" s="405"/>
      <c r="E13" s="482">
        <v>4.875</v>
      </c>
      <c r="F13" s="407">
        <f>Stammdaten!$H$17</f>
        <v>34</v>
      </c>
      <c r="G13" s="407">
        <f>$E$13*$F$13*24</f>
        <v>3978</v>
      </c>
      <c r="H13" s="389"/>
      <c r="I13" s="384" t="s">
        <v>190</v>
      </c>
      <c r="J13" s="524" t="s">
        <v>296</v>
      </c>
    </row>
    <row r="14" spans="2:10" ht="12.75">
      <c r="B14" s="403"/>
      <c r="C14" s="404" t="s">
        <v>175</v>
      </c>
      <c r="D14" s="406"/>
      <c r="E14" s="406"/>
      <c r="F14" s="389"/>
      <c r="G14" s="367">
        <v>0</v>
      </c>
      <c r="H14" s="389"/>
      <c r="J14" s="378" t="s">
        <v>297</v>
      </c>
    </row>
    <row r="15" spans="2:10" ht="12.75">
      <c r="B15" s="403"/>
      <c r="C15" s="404" t="s">
        <v>176</v>
      </c>
      <c r="D15" s="406"/>
      <c r="E15" s="406"/>
      <c r="F15" s="389"/>
      <c r="G15" s="368">
        <v>0</v>
      </c>
      <c r="H15" s="592"/>
      <c r="I15" s="384" t="s">
        <v>190</v>
      </c>
      <c r="J15" s="378" t="s">
        <v>298</v>
      </c>
    </row>
    <row r="16" spans="2:10" ht="12.75">
      <c r="B16" s="403"/>
      <c r="C16" s="404" t="s">
        <v>177</v>
      </c>
      <c r="D16" s="389"/>
      <c r="E16" s="406"/>
      <c r="F16" s="406"/>
      <c r="G16" s="368">
        <v>0</v>
      </c>
      <c r="H16" s="591"/>
      <c r="J16" s="378" t="s">
        <v>299</v>
      </c>
    </row>
    <row r="17" spans="2:8" ht="12.75">
      <c r="B17" s="403"/>
      <c r="C17" s="408"/>
      <c r="D17" s="409" t="s">
        <v>147</v>
      </c>
      <c r="E17" s="409" t="s">
        <v>148</v>
      </c>
      <c r="F17" s="389"/>
      <c r="G17" s="410"/>
      <c r="H17" s="389"/>
    </row>
    <row r="18" spans="2:12" ht="12.75">
      <c r="B18" s="403"/>
      <c r="C18" s="411" t="str">
        <f>"- "&amp;Stammdaten!$F$23</f>
        <v>- Sonderschicht I</v>
      </c>
      <c r="D18" s="499">
        <v>3.7291666666666665</v>
      </c>
      <c r="E18" s="412">
        <f>Stammdaten!$H$24</f>
        <v>0</v>
      </c>
      <c r="F18" s="389"/>
      <c r="G18" s="413">
        <f>D18*E18*24</f>
        <v>0</v>
      </c>
      <c r="H18" s="389"/>
      <c r="J18" s="378"/>
      <c r="L18" s="594"/>
    </row>
    <row r="19" spans="2:12" ht="12.75">
      <c r="B19" s="403"/>
      <c r="C19" s="381" t="str">
        <f>"- "&amp;Stammdaten!$G$24</f>
        <v>- Sonderschicht II</v>
      </c>
      <c r="D19" s="484">
        <v>1.6145833333333333</v>
      </c>
      <c r="E19" s="412">
        <f>Stammdaten!$H$23</f>
        <v>0</v>
      </c>
      <c r="F19" s="389"/>
      <c r="G19" s="413">
        <f>D19*E19*24</f>
        <v>0</v>
      </c>
      <c r="H19" s="389"/>
      <c r="I19" s="381"/>
      <c r="J19" s="378"/>
      <c r="L19" s="593"/>
    </row>
    <row r="20" spans="2:9" ht="12.75">
      <c r="B20" s="403"/>
      <c r="C20" s="411" t="str">
        <f>"- "&amp;Stammdaten!$G$21</f>
        <v>- Samstagarbeit</v>
      </c>
      <c r="D20" s="485">
        <v>0.6666666666666666</v>
      </c>
      <c r="E20" s="412">
        <f>Stammdaten!$H$21</f>
        <v>0</v>
      </c>
      <c r="F20" s="389"/>
      <c r="G20" s="413">
        <f>D20*E20*24</f>
        <v>0</v>
      </c>
      <c r="H20" s="389"/>
      <c r="I20" s="381"/>
    </row>
    <row r="21" spans="2:9" ht="12.75">
      <c r="B21" s="403"/>
      <c r="C21" s="411" t="s">
        <v>149</v>
      </c>
      <c r="D21" s="487">
        <v>0</v>
      </c>
      <c r="E21" s="522">
        <v>0</v>
      </c>
      <c r="F21" s="389"/>
      <c r="G21" s="413">
        <f>D21*E21*24</f>
        <v>0</v>
      </c>
      <c r="H21" s="389"/>
      <c r="I21" s="381"/>
    </row>
    <row r="22" spans="2:11" ht="12.75">
      <c r="B22" s="403"/>
      <c r="C22" s="411" t="s">
        <v>306</v>
      </c>
      <c r="D22" s="414"/>
      <c r="E22" s="415"/>
      <c r="F22" s="389"/>
      <c r="G22" s="523">
        <f>D22*E22*24</f>
        <v>0</v>
      </c>
      <c r="H22" s="389"/>
      <c r="I22" s="381"/>
      <c r="J22" s="414"/>
      <c r="K22" s="415"/>
    </row>
    <row r="23" spans="2:8" ht="19.5" customHeight="1">
      <c r="B23" s="403"/>
      <c r="C23" s="414" t="s">
        <v>145</v>
      </c>
      <c r="D23" s="644"/>
      <c r="E23" s="645"/>
      <c r="F23" s="646"/>
      <c r="G23" s="416">
        <f>SUM(G13:G21)</f>
        <v>3978</v>
      </c>
      <c r="H23" s="389"/>
    </row>
    <row r="24" spans="2:8" ht="12.75">
      <c r="B24" s="417"/>
      <c r="C24" s="649"/>
      <c r="D24" s="650"/>
      <c r="E24" s="650"/>
      <c r="F24" s="650"/>
      <c r="G24" s="418"/>
      <c r="H24" s="389"/>
    </row>
    <row r="25" spans="2:8" ht="12.75">
      <c r="B25" s="402"/>
      <c r="C25" s="419"/>
      <c r="D25" s="419"/>
      <c r="E25" s="420"/>
      <c r="F25" s="419"/>
      <c r="G25" s="421"/>
      <c r="H25" s="389"/>
    </row>
    <row r="26" spans="2:8" ht="12.75">
      <c r="B26" s="403"/>
      <c r="C26" s="381" t="s">
        <v>292</v>
      </c>
      <c r="D26" s="423">
        <f>Stammdaten!C12</f>
        <v>1</v>
      </c>
      <c r="E26" s="651" t="s">
        <v>301</v>
      </c>
      <c r="F26" s="652"/>
      <c r="G26" s="425">
        <v>710.12</v>
      </c>
      <c r="H26" s="389"/>
    </row>
    <row r="27" spans="2:8" ht="12.75">
      <c r="B27" s="403"/>
      <c r="C27" s="422" t="s">
        <v>28</v>
      </c>
      <c r="D27" s="423">
        <f>Stammdaten!C16</f>
        <v>9</v>
      </c>
      <c r="E27" s="426" t="s">
        <v>131</v>
      </c>
      <c r="F27" s="427"/>
      <c r="G27" s="428">
        <v>63.99</v>
      </c>
      <c r="H27" s="389"/>
    </row>
    <row r="28" spans="2:8" ht="12.75">
      <c r="B28" s="403"/>
      <c r="C28" s="422" t="s">
        <v>27</v>
      </c>
      <c r="D28" s="422"/>
      <c r="E28" s="424"/>
      <c r="F28" s="422"/>
      <c r="G28" s="428">
        <v>39.1</v>
      </c>
      <c r="H28" s="389"/>
    </row>
    <row r="29" spans="2:8" ht="12.75">
      <c r="B29" s="403"/>
      <c r="C29" s="429"/>
      <c r="D29" s="13" t="str">
        <f>IF(Stammdaten!C17&lt;20,Stammdaten!C17/2+Stammdaten!C18&amp;"% Krankenkassenbeitrag","Eigenanteil PKV")</f>
        <v>8,2% Krankenkassenbeitrag</v>
      </c>
      <c r="E29" s="430"/>
      <c r="F29" s="431"/>
      <c r="G29" s="428">
        <v>326.2</v>
      </c>
      <c r="H29" s="389"/>
    </row>
    <row r="30" spans="2:8" ht="12.75">
      <c r="B30" s="403"/>
      <c r="C30" s="422"/>
      <c r="D30" s="381" t="s">
        <v>258</v>
      </c>
      <c r="E30" s="424"/>
      <c r="F30" s="422"/>
      <c r="G30" s="428">
        <v>59.67</v>
      </c>
      <c r="H30" s="389"/>
    </row>
    <row r="31" spans="2:8" ht="12.75">
      <c r="B31" s="403"/>
      <c r="C31" s="422"/>
      <c r="D31" s="381" t="s">
        <v>318</v>
      </c>
      <c r="E31" s="424"/>
      <c r="F31" s="422"/>
      <c r="G31" s="428">
        <v>371.94</v>
      </c>
      <c r="H31" s="389"/>
    </row>
    <row r="32" spans="2:8" ht="12.75">
      <c r="B32" s="403"/>
      <c r="C32" s="422"/>
      <c r="D32" s="422" t="str">
        <f>IF(Stammdaten!C22=1,1.675,1.175)+IF(Stammdaten!C20=1,0.25,0)&amp;"% Pflegeversicherung"</f>
        <v>1,425% Pflegeversicherung</v>
      </c>
      <c r="E32" s="424"/>
      <c r="F32" s="422"/>
      <c r="G32" s="428">
        <v>56.69</v>
      </c>
      <c r="H32" s="389"/>
    </row>
    <row r="33" spans="2:8" ht="12.75">
      <c r="B33" s="403"/>
      <c r="C33" s="432" t="s">
        <v>132</v>
      </c>
      <c r="D33" s="432"/>
      <c r="E33" s="433"/>
      <c r="F33" s="432"/>
      <c r="G33" s="369">
        <v>0</v>
      </c>
      <c r="H33" s="389"/>
    </row>
    <row r="34" spans="2:8" ht="13.5">
      <c r="B34" s="403"/>
      <c r="C34" s="414" t="s">
        <v>133</v>
      </c>
      <c r="D34" s="495"/>
      <c r="E34" s="415"/>
      <c r="F34" s="414"/>
      <c r="G34" s="434">
        <f>SUM(G26:G33)</f>
        <v>1627.7100000000003</v>
      </c>
      <c r="H34" s="389"/>
    </row>
    <row r="35" spans="2:8" ht="12.75">
      <c r="B35" s="417"/>
      <c r="C35" s="432"/>
      <c r="D35" s="432"/>
      <c r="E35" s="433"/>
      <c r="F35" s="432"/>
      <c r="G35" s="418"/>
      <c r="H35" s="389"/>
    </row>
    <row r="36" spans="2:8" ht="12.75">
      <c r="B36" s="402"/>
      <c r="C36" s="435"/>
      <c r="D36" s="435"/>
      <c r="E36" s="436"/>
      <c r="F36" s="435"/>
      <c r="G36" s="421"/>
      <c r="H36" s="389"/>
    </row>
    <row r="37" spans="2:8" ht="12.75">
      <c r="B37" s="403"/>
      <c r="C37" s="408" t="s">
        <v>154</v>
      </c>
      <c r="D37" s="409" t="s">
        <v>147</v>
      </c>
      <c r="E37" s="437" t="s">
        <v>148</v>
      </c>
      <c r="F37" s="408"/>
      <c r="G37" s="438"/>
      <c r="H37" s="389"/>
    </row>
    <row r="38" spans="2:8" ht="12.75">
      <c r="B38" s="403"/>
      <c r="C38" s="381" t="s">
        <v>146</v>
      </c>
      <c r="D38" s="483">
        <v>0</v>
      </c>
      <c r="E38" s="439">
        <f>Stammdaten!$H$22</f>
        <v>2.98</v>
      </c>
      <c r="F38" s="440"/>
      <c r="G38" s="441">
        <f>D38*24*E38</f>
        <v>0</v>
      </c>
      <c r="H38" s="389"/>
    </row>
    <row r="39" spans="2:8" ht="12.75">
      <c r="B39" s="403"/>
      <c r="C39" s="381" t="s">
        <v>123</v>
      </c>
      <c r="D39" s="484">
        <v>0.4166666666666667</v>
      </c>
      <c r="E39" s="442">
        <f>Stammdaten!$H$20</f>
        <v>0</v>
      </c>
      <c r="F39" s="443"/>
      <c r="G39" s="441">
        <f>D39*24*E39</f>
        <v>0</v>
      </c>
      <c r="H39" s="389"/>
    </row>
    <row r="40" spans="2:8" ht="12.75">
      <c r="B40" s="403"/>
      <c r="C40" s="381" t="s">
        <v>118</v>
      </c>
      <c r="D40" s="485">
        <v>0</v>
      </c>
      <c r="E40" s="412">
        <f>Stammdaten!$H$19</f>
        <v>28.5</v>
      </c>
      <c r="F40" s="443"/>
      <c r="G40" s="441">
        <f>D40*24*E40</f>
        <v>0</v>
      </c>
      <c r="H40" s="389"/>
    </row>
    <row r="41" spans="2:8" ht="12.75">
      <c r="B41" s="403"/>
      <c r="C41" s="444" t="s">
        <v>155</v>
      </c>
      <c r="D41" s="487">
        <v>0</v>
      </c>
      <c r="E41" s="486">
        <v>0</v>
      </c>
      <c r="F41" s="445"/>
      <c r="G41" s="413">
        <f>D41*24*E41</f>
        <v>0</v>
      </c>
      <c r="H41" s="389"/>
    </row>
    <row r="42" spans="2:8" ht="12.75">
      <c r="B42" s="403"/>
      <c r="C42" s="422" t="s">
        <v>134</v>
      </c>
      <c r="D42" s="422"/>
      <c r="E42" s="424"/>
      <c r="F42" s="422"/>
      <c r="G42" s="490">
        <f>SUM(G38:G40)</f>
        <v>0</v>
      </c>
      <c r="H42" s="389"/>
    </row>
    <row r="43" spans="2:8" ht="12.75">
      <c r="B43" s="403"/>
      <c r="C43" s="422"/>
      <c r="D43" s="422"/>
      <c r="E43" s="424"/>
      <c r="F43" s="422"/>
      <c r="G43" s="446"/>
      <c r="H43" s="389"/>
    </row>
    <row r="44" spans="2:8" ht="12.75">
      <c r="B44" s="403"/>
      <c r="C44" s="422" t="s">
        <v>135</v>
      </c>
      <c r="D44" s="422"/>
      <c r="E44" s="424"/>
      <c r="F44" s="422"/>
      <c r="G44" s="369">
        <v>0</v>
      </c>
      <c r="H44" s="389"/>
    </row>
    <row r="45" spans="2:8" ht="12.75">
      <c r="B45" s="403"/>
      <c r="C45" s="422" t="s">
        <v>136</v>
      </c>
      <c r="D45" s="422"/>
      <c r="E45" s="424"/>
      <c r="F45" s="422"/>
      <c r="G45" s="369">
        <v>0</v>
      </c>
      <c r="H45" s="389"/>
    </row>
    <row r="46" spans="2:8" ht="12.75">
      <c r="B46" s="403"/>
      <c r="C46" s="381" t="s">
        <v>293</v>
      </c>
      <c r="D46" s="422"/>
      <c r="E46" s="424"/>
      <c r="F46" s="422"/>
      <c r="G46" s="369">
        <v>0</v>
      </c>
      <c r="H46" s="389"/>
    </row>
    <row r="47" spans="2:8" ht="12.75">
      <c r="B47" s="403"/>
      <c r="C47" s="381" t="s">
        <v>300</v>
      </c>
      <c r="D47" s="422"/>
      <c r="E47" s="424"/>
      <c r="F47" s="422"/>
      <c r="G47" s="369">
        <v>0</v>
      </c>
      <c r="H47" s="389"/>
    </row>
    <row r="48" spans="2:8" ht="12.75">
      <c r="B48" s="403"/>
      <c r="C48" s="422"/>
      <c r="D48" s="422"/>
      <c r="E48" s="424"/>
      <c r="F48" s="422"/>
      <c r="G48" s="446"/>
      <c r="H48" s="389"/>
    </row>
    <row r="49" spans="2:8" ht="13.5">
      <c r="B49" s="403"/>
      <c r="C49" s="414" t="s">
        <v>151</v>
      </c>
      <c r="D49" s="414"/>
      <c r="E49" s="415"/>
      <c r="F49" s="414"/>
      <c r="G49" s="491">
        <f>SUM(G42:G47)</f>
        <v>0</v>
      </c>
      <c r="H49" s="389"/>
    </row>
    <row r="50" spans="2:8" ht="12.75">
      <c r="B50" s="417"/>
      <c r="C50" s="432"/>
      <c r="D50" s="432"/>
      <c r="E50" s="433"/>
      <c r="F50" s="432"/>
      <c r="G50" s="418"/>
      <c r="H50" s="389"/>
    </row>
    <row r="51" spans="2:8" ht="12.75">
      <c r="B51" s="389"/>
      <c r="C51" s="447"/>
      <c r="D51" s="447"/>
      <c r="E51" s="448"/>
      <c r="F51" s="447"/>
      <c r="G51" s="449"/>
      <c r="H51" s="389"/>
    </row>
    <row r="52" spans="2:8" ht="13.5">
      <c r="B52" s="389"/>
      <c r="C52" s="447" t="s">
        <v>137</v>
      </c>
      <c r="D52" s="447"/>
      <c r="E52" s="448"/>
      <c r="F52" s="447"/>
      <c r="G52" s="492">
        <v>2350.29</v>
      </c>
      <c r="H52" s="389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450"/>
      <c r="C54" s="451"/>
      <c r="D54" s="451"/>
      <c r="E54" s="451"/>
      <c r="F54" s="452"/>
      <c r="G54" s="453"/>
      <c r="H54" s="378"/>
      <c r="I54" s="4"/>
    </row>
    <row r="55" spans="2:8" s="4" customFormat="1" ht="12.75">
      <c r="B55" s="378"/>
      <c r="C55" s="454"/>
      <c r="H55" s="377"/>
    </row>
    <row r="56" spans="2:9" s="4" customFormat="1" ht="12.75">
      <c r="B56" s="455"/>
      <c r="C56" s="454"/>
      <c r="I56" s="372"/>
    </row>
    <row r="57" spans="2:8" ht="12.75">
      <c r="B57" s="640" t="s">
        <v>150</v>
      </c>
      <c r="C57" s="641"/>
      <c r="D57" s="642" t="s">
        <v>138</v>
      </c>
      <c r="E57" s="643"/>
      <c r="F57" s="643"/>
      <c r="G57" s="643"/>
      <c r="H57" s="378"/>
    </row>
    <row r="58" spans="2:7" ht="11.25" customHeight="1">
      <c r="B58" s="456"/>
      <c r="C58" s="456"/>
      <c r="D58" s="456"/>
      <c r="E58" s="457"/>
      <c r="F58" s="456"/>
      <c r="G58" s="372"/>
    </row>
  </sheetData>
  <sheetProtection/>
  <mergeCells count="6">
    <mergeCell ref="B57:C57"/>
    <mergeCell ref="D57:G57"/>
    <mergeCell ref="D23:F23"/>
    <mergeCell ref="B1:D1"/>
    <mergeCell ref="C24:F24"/>
    <mergeCell ref="E26:F26"/>
  </mergeCells>
  <conditionalFormatting sqref="C23:C29">
    <cfRule type="cellIs" priority="7" dxfId="246" operator="lessThan" stopIfTrue="1">
      <formula>0</formula>
    </cfRule>
    <cfRule type="cellIs" priority="8" dxfId="247" operator="greaterThan" stopIfTrue="1">
      <formula>0</formula>
    </cfRule>
  </conditionalFormatting>
  <conditionalFormatting sqref="C31">
    <cfRule type="cellIs" priority="9" dxfId="246" operator="lessThan" stopIfTrue="1">
      <formula>0</formula>
    </cfRule>
    <cfRule type="cellIs" priority="10" dxfId="245" operator="notEqual" stopIfTrue="1">
      <formula>0</formula>
    </cfRule>
  </conditionalFormatting>
  <conditionalFormatting sqref="H62:L62">
    <cfRule type="cellIs" priority="11" dxfId="244" operator="equal" stopIfTrue="1">
      <formula>0</formula>
    </cfRule>
  </conditionalFormatting>
  <conditionalFormatting sqref="K8:K11 J8">
    <cfRule type="cellIs" priority="12" dxfId="243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59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Januar "&amp;gewJahr</f>
        <v>Arbeitszeitachweis Januar 2015</v>
      </c>
      <c r="C2" s="460"/>
      <c r="D2" s="459"/>
      <c r="E2" s="459"/>
      <c r="F2" s="459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0.75" customHeight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23.25" customHeight="1" hidden="1">
      <c r="B5" s="4"/>
      <c r="C5" s="66">
        <f>IF(Stammdaten!M10="x",1,0)</f>
        <v>1</v>
      </c>
      <c r="D5" s="4"/>
      <c r="E5" s="4"/>
      <c r="F5" s="4"/>
      <c r="H5" s="4"/>
      <c r="I5" s="4"/>
      <c r="J5" s="648"/>
      <c r="K5" s="5"/>
      <c r="L5" s="4"/>
    </row>
    <row r="6" spans="2:14" ht="16.5" customHeight="1">
      <c r="B6" s="80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5.5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198">
        <f>DATE(gewJahr,1,1)</f>
        <v>42005</v>
      </c>
      <c r="C8" s="199">
        <f aca="true" t="shared" si="0" ref="C8:C38">WEEKDAY(B8)</f>
        <v>5</v>
      </c>
      <c r="D8" s="289">
        <v>0</v>
      </c>
      <c r="E8" s="289">
        <v>0</v>
      </c>
      <c r="F8" s="290">
        <f>MAX(IF(D8&lt;=E8,E8-D8,"24:00"-D8+E8)-G8,0)</f>
        <v>0</v>
      </c>
      <c r="G8" s="289">
        <v>0</v>
      </c>
      <c r="H8" s="289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42006</v>
      </c>
      <c r="C9" s="203">
        <f t="shared" si="0"/>
        <v>6</v>
      </c>
      <c r="D9" s="291">
        <v>0</v>
      </c>
      <c r="E9" s="291">
        <v>0</v>
      </c>
      <c r="F9" s="280">
        <f>MAX(IF(D9&lt;=E9,E9-D9,"24:00"-D9+E9)-G9,0)</f>
        <v>0</v>
      </c>
      <c r="G9" s="291">
        <v>0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 t="s">
        <v>113</v>
      </c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1" ref="B10:B38">B9+1</f>
        <v>42007</v>
      </c>
      <c r="C10" s="203">
        <f t="shared" si="0"/>
        <v>7</v>
      </c>
      <c r="D10" s="291">
        <v>0</v>
      </c>
      <c r="E10" s="291">
        <v>0</v>
      </c>
      <c r="F10" s="280">
        <f>MAX(IF(D10&lt;=E10,E10-D10,"24:00"-D10+E10)-G10,0)</f>
        <v>0</v>
      </c>
      <c r="G10" s="291">
        <v>0</v>
      </c>
      <c r="H10" s="281">
        <f aca="true" t="shared" si="2" ref="H10:H38">IF(F10-I10&gt;0,F10-I10,0)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42008</v>
      </c>
      <c r="C11" s="203">
        <f t="shared" si="0"/>
        <v>1</v>
      </c>
      <c r="D11" s="291">
        <v>0</v>
      </c>
      <c r="E11" s="291">
        <v>0</v>
      </c>
      <c r="F11" s="280">
        <f>MAX(IF(D11&lt;=E11,E11-D11,"24:00"-D11+E11)-G11,0)</f>
        <v>0</v>
      </c>
      <c r="G11" s="291">
        <v>0</v>
      </c>
      <c r="H11" s="281">
        <f t="shared" si="2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42009</v>
      </c>
      <c r="C12" s="203">
        <f t="shared" si="0"/>
        <v>2</v>
      </c>
      <c r="D12" s="291">
        <v>0.3333333333333333</v>
      </c>
      <c r="E12" s="291">
        <v>0.75</v>
      </c>
      <c r="F12" s="280">
        <f>MAX(IF(D12&lt;=E12,E12-D12,"24:00"-D12+E12)-G12,0)</f>
        <v>0.375</v>
      </c>
      <c r="G12" s="291">
        <v>0.041666666666666664</v>
      </c>
      <c r="H12" s="281">
        <f t="shared" si="2"/>
        <v>0.375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42010</v>
      </c>
      <c r="C13" s="203">
        <f t="shared" si="0"/>
        <v>3</v>
      </c>
      <c r="D13" s="292">
        <v>0</v>
      </c>
      <c r="E13" s="292">
        <v>0</v>
      </c>
      <c r="F13" s="280">
        <f>IF(D13&lt;=E13,E13-D13,"24:00"-D13+E13)-G13</f>
        <v>0</v>
      </c>
      <c r="G13" s="293"/>
      <c r="H13" s="281">
        <f t="shared" si="2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42011</v>
      </c>
      <c r="C14" s="203">
        <f t="shared" si="0"/>
        <v>4</v>
      </c>
      <c r="D14" s="291">
        <v>0.3333333333333333</v>
      </c>
      <c r="E14" s="291">
        <v>0.75</v>
      </c>
      <c r="F14" s="280">
        <f aca="true" t="shared" si="3" ref="F14:F38">MAX(IF(D14&lt;=E14,E14-D14,"24:00"-D14+E14)-G14,0)</f>
        <v>0.375</v>
      </c>
      <c r="G14" s="291">
        <v>0.041666666666666664</v>
      </c>
      <c r="H14" s="281">
        <f t="shared" si="2"/>
        <v>0.375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42012</v>
      </c>
      <c r="C15" s="203">
        <f t="shared" si="0"/>
        <v>5</v>
      </c>
      <c r="D15" s="291">
        <v>0.3333333333333333</v>
      </c>
      <c r="E15" s="291">
        <v>0.75</v>
      </c>
      <c r="F15" s="280">
        <f t="shared" si="3"/>
        <v>0.375</v>
      </c>
      <c r="G15" s="291">
        <v>0.041666666666666664</v>
      </c>
      <c r="H15" s="281">
        <f t="shared" si="2"/>
        <v>0.375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42013</v>
      </c>
      <c r="C16" s="203">
        <f t="shared" si="0"/>
        <v>6</v>
      </c>
      <c r="D16" s="291">
        <v>0</v>
      </c>
      <c r="E16" s="291">
        <v>0</v>
      </c>
      <c r="F16" s="280">
        <f t="shared" si="3"/>
        <v>0</v>
      </c>
      <c r="G16" s="291"/>
      <c r="H16" s="281">
        <f t="shared" si="2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42014</v>
      </c>
      <c r="C17" s="203">
        <f t="shared" si="0"/>
        <v>7</v>
      </c>
      <c r="D17" s="291">
        <v>0</v>
      </c>
      <c r="E17" s="291">
        <v>0</v>
      </c>
      <c r="F17" s="280">
        <f t="shared" si="3"/>
        <v>0</v>
      </c>
      <c r="G17" s="291"/>
      <c r="H17" s="281">
        <f t="shared" si="2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42015</v>
      </c>
      <c r="C18" s="203">
        <f t="shared" si="0"/>
        <v>1</v>
      </c>
      <c r="D18" s="291">
        <v>0</v>
      </c>
      <c r="E18" s="291">
        <v>0</v>
      </c>
      <c r="F18" s="280">
        <f t="shared" si="3"/>
        <v>0</v>
      </c>
      <c r="G18" s="291"/>
      <c r="H18" s="281">
        <f t="shared" si="2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42016</v>
      </c>
      <c r="C19" s="203">
        <f t="shared" si="0"/>
        <v>2</v>
      </c>
      <c r="D19" s="291">
        <v>0.3333333333333333</v>
      </c>
      <c r="E19" s="291">
        <v>0.75</v>
      </c>
      <c r="F19" s="280">
        <f t="shared" si="3"/>
        <v>0.4166666666666667</v>
      </c>
      <c r="G19" s="291"/>
      <c r="H19" s="281">
        <f t="shared" si="2"/>
        <v>0.4166666666666667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42017</v>
      </c>
      <c r="C20" s="203">
        <f t="shared" si="0"/>
        <v>3</v>
      </c>
      <c r="D20" s="291">
        <v>0.3333333333333333</v>
      </c>
      <c r="E20" s="291">
        <v>0.75</v>
      </c>
      <c r="F20" s="280">
        <f t="shared" si="3"/>
        <v>0.4166666666666667</v>
      </c>
      <c r="G20" s="291"/>
      <c r="H20" s="281">
        <f t="shared" si="2"/>
        <v>0.4166666666666667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42018</v>
      </c>
      <c r="C21" s="203">
        <f t="shared" si="0"/>
        <v>4</v>
      </c>
      <c r="D21" s="291">
        <v>0.3333333333333333</v>
      </c>
      <c r="E21" s="291">
        <v>0.75</v>
      </c>
      <c r="F21" s="280">
        <f t="shared" si="3"/>
        <v>0.4166666666666667</v>
      </c>
      <c r="G21" s="291"/>
      <c r="H21" s="281">
        <f t="shared" si="2"/>
        <v>0.4166666666666667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42019</v>
      </c>
      <c r="C22" s="203">
        <f t="shared" si="0"/>
        <v>5</v>
      </c>
      <c r="D22" s="291">
        <v>0.3333333333333333</v>
      </c>
      <c r="E22" s="291">
        <v>0.75</v>
      </c>
      <c r="F22" s="280">
        <f t="shared" si="3"/>
        <v>0.4166666666666667</v>
      </c>
      <c r="G22" s="291"/>
      <c r="H22" s="281">
        <f t="shared" si="2"/>
        <v>0.4166666666666667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42020</v>
      </c>
      <c r="C23" s="203">
        <f t="shared" si="0"/>
        <v>6</v>
      </c>
      <c r="D23" s="291">
        <v>0</v>
      </c>
      <c r="E23" s="291">
        <v>0</v>
      </c>
      <c r="F23" s="280">
        <f t="shared" si="3"/>
        <v>0</v>
      </c>
      <c r="G23" s="291"/>
      <c r="H23" s="281">
        <f t="shared" si="2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 t="s">
        <v>114</v>
      </c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42021</v>
      </c>
      <c r="C24" s="203">
        <f t="shared" si="0"/>
        <v>7</v>
      </c>
      <c r="D24" s="291">
        <v>0</v>
      </c>
      <c r="E24" s="291">
        <v>0</v>
      </c>
      <c r="F24" s="280">
        <f t="shared" si="3"/>
        <v>0</v>
      </c>
      <c r="G24" s="291"/>
      <c r="H24" s="281">
        <f t="shared" si="2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 t="s">
        <v>114</v>
      </c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42022</v>
      </c>
      <c r="C25" s="203">
        <f t="shared" si="0"/>
        <v>1</v>
      </c>
      <c r="D25" s="291">
        <v>0</v>
      </c>
      <c r="E25" s="291">
        <v>0</v>
      </c>
      <c r="F25" s="280">
        <f t="shared" si="3"/>
        <v>0</v>
      </c>
      <c r="G25" s="291"/>
      <c r="H25" s="281">
        <f t="shared" si="2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42023</v>
      </c>
      <c r="C26" s="203">
        <f t="shared" si="0"/>
        <v>2</v>
      </c>
      <c r="D26" s="291">
        <v>0.3333333333333333</v>
      </c>
      <c r="E26" s="291">
        <v>0.75</v>
      </c>
      <c r="F26" s="280">
        <f t="shared" si="3"/>
        <v>0.4166666666666667</v>
      </c>
      <c r="G26" s="291"/>
      <c r="H26" s="281">
        <f t="shared" si="2"/>
        <v>0.4166666666666667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42024</v>
      </c>
      <c r="C27" s="203">
        <f t="shared" si="0"/>
        <v>3</v>
      </c>
      <c r="D27" s="291">
        <v>0.3333333333333333</v>
      </c>
      <c r="E27" s="291">
        <v>0.75</v>
      </c>
      <c r="F27" s="280">
        <f t="shared" si="3"/>
        <v>0.4166666666666667</v>
      </c>
      <c r="G27" s="291"/>
      <c r="H27" s="281">
        <f t="shared" si="2"/>
        <v>0.4166666666666667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42025</v>
      </c>
      <c r="C28" s="203">
        <f t="shared" si="0"/>
        <v>4</v>
      </c>
      <c r="D28" s="291">
        <v>0.3333333333333333</v>
      </c>
      <c r="E28" s="291">
        <v>0.75</v>
      </c>
      <c r="F28" s="280">
        <f t="shared" si="3"/>
        <v>0.4166666666666667</v>
      </c>
      <c r="G28" s="291"/>
      <c r="H28" s="281">
        <f t="shared" si="2"/>
        <v>0.4166666666666667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42026</v>
      </c>
      <c r="C29" s="203">
        <f t="shared" si="0"/>
        <v>5</v>
      </c>
      <c r="D29" s="291">
        <v>0.3333333333333333</v>
      </c>
      <c r="E29" s="291">
        <v>0.75</v>
      </c>
      <c r="F29" s="280">
        <f t="shared" si="3"/>
        <v>0.4166666666666667</v>
      </c>
      <c r="G29" s="291"/>
      <c r="H29" s="281">
        <f>IF(F29-I29&gt;0,F29-I29,0)</f>
        <v>0.4166666666666667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42027</v>
      </c>
      <c r="C30" s="203">
        <f t="shared" si="0"/>
        <v>6</v>
      </c>
      <c r="D30" s="291">
        <v>0.3333333333333333</v>
      </c>
      <c r="E30" s="291">
        <v>0.75</v>
      </c>
      <c r="F30" s="280">
        <f t="shared" si="3"/>
        <v>0.4166666666666667</v>
      </c>
      <c r="G30" s="291"/>
      <c r="H30" s="281">
        <f t="shared" si="2"/>
        <v>0.4166666666666667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42028</v>
      </c>
      <c r="C31" s="203">
        <f t="shared" si="0"/>
        <v>7</v>
      </c>
      <c r="D31" s="291">
        <v>0</v>
      </c>
      <c r="E31" s="291">
        <v>0</v>
      </c>
      <c r="F31" s="280">
        <f t="shared" si="3"/>
        <v>0</v>
      </c>
      <c r="G31" s="291"/>
      <c r="H31" s="281">
        <f t="shared" si="2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42029</v>
      </c>
      <c r="C32" s="203">
        <f t="shared" si="0"/>
        <v>1</v>
      </c>
      <c r="D32" s="291">
        <v>0</v>
      </c>
      <c r="E32" s="291">
        <v>0</v>
      </c>
      <c r="F32" s="280">
        <f t="shared" si="3"/>
        <v>0</v>
      </c>
      <c r="G32" s="291"/>
      <c r="H32" s="281">
        <f t="shared" si="2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42030</v>
      </c>
      <c r="C33" s="203">
        <f t="shared" si="0"/>
        <v>2</v>
      </c>
      <c r="D33" s="291">
        <v>0</v>
      </c>
      <c r="E33" s="291">
        <v>0</v>
      </c>
      <c r="F33" s="280">
        <f t="shared" si="3"/>
        <v>0</v>
      </c>
      <c r="G33" s="291"/>
      <c r="H33" s="281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42031</v>
      </c>
      <c r="C34" s="203">
        <f t="shared" si="0"/>
        <v>3</v>
      </c>
      <c r="D34" s="291">
        <v>0</v>
      </c>
      <c r="E34" s="291">
        <v>0</v>
      </c>
      <c r="F34" s="280">
        <f t="shared" si="3"/>
        <v>0</v>
      </c>
      <c r="G34" s="291"/>
      <c r="H34" s="281">
        <f t="shared" si="2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 t="s">
        <v>113</v>
      </c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42032</v>
      </c>
      <c r="C35" s="203">
        <f t="shared" si="0"/>
        <v>4</v>
      </c>
      <c r="D35" s="291">
        <v>0</v>
      </c>
      <c r="E35" s="291">
        <v>0</v>
      </c>
      <c r="F35" s="280">
        <f t="shared" si="3"/>
        <v>0</v>
      </c>
      <c r="G35" s="291"/>
      <c r="H35" s="281">
        <f t="shared" si="2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42033</v>
      </c>
      <c r="C36" s="203">
        <f t="shared" si="0"/>
        <v>5</v>
      </c>
      <c r="D36" s="291">
        <v>0</v>
      </c>
      <c r="E36" s="291">
        <v>0</v>
      </c>
      <c r="F36" s="280">
        <f t="shared" si="3"/>
        <v>0</v>
      </c>
      <c r="G36" s="291"/>
      <c r="H36" s="281">
        <f t="shared" si="2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42034</v>
      </c>
      <c r="C37" s="203">
        <f t="shared" si="0"/>
        <v>6</v>
      </c>
      <c r="D37" s="291">
        <v>0</v>
      </c>
      <c r="E37" s="291">
        <v>0</v>
      </c>
      <c r="F37" s="280">
        <f t="shared" si="3"/>
        <v>0</v>
      </c>
      <c r="G37" s="291"/>
      <c r="H37" s="281">
        <f t="shared" si="2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1"/>
        <v>42035</v>
      </c>
      <c r="C38" s="203">
        <f t="shared" si="0"/>
        <v>7</v>
      </c>
      <c r="D38" s="291">
        <v>0</v>
      </c>
      <c r="E38" s="291">
        <v>0</v>
      </c>
      <c r="F38" s="280">
        <f t="shared" si="3"/>
        <v>0</v>
      </c>
      <c r="G38" s="291"/>
      <c r="H38" s="281">
        <f t="shared" si="2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0.5" customHeight="1">
      <c r="A39" s="220"/>
      <c r="B39" s="192"/>
      <c r="C39" s="208"/>
      <c r="D39" s="656" t="s">
        <v>88</v>
      </c>
      <c r="E39" s="657"/>
      <c r="F39" s="282">
        <f>SUM(F8:F38)</f>
        <v>4.875</v>
      </c>
      <c r="G39" s="294"/>
      <c r="H39" s="282">
        <f>SUM(H8:H38)</f>
        <v>4.875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60" t="s">
        <v>122</v>
      </c>
      <c r="E41" s="661"/>
      <c r="F41" s="296">
        <v>0</v>
      </c>
      <c r="G41" s="662" t="s">
        <v>115</v>
      </c>
      <c r="H41" s="645"/>
      <c r="I41" s="645"/>
      <c r="J41" s="213">
        <f>Stammdaten!$H$27-J40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2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3.25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2.1666666666666665</v>
      </c>
      <c r="G44" s="197"/>
      <c r="H44" s="501"/>
      <c r="I44" s="514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1:14" ht="12.75">
      <c r="A46" s="167"/>
      <c r="B46" s="186"/>
      <c r="C46" s="168"/>
      <c r="D46" s="512"/>
      <c r="E46" s="513" t="s">
        <v>33</v>
      </c>
      <c r="F46" s="587">
        <f>Arbeitszeitübersicht!D8/24</f>
        <v>0</v>
      </c>
      <c r="G46" s="231"/>
      <c r="H46" s="81"/>
      <c r="I46" s="5"/>
      <c r="J46" s="5"/>
      <c r="K46" s="77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5"/>
      <c r="E49" s="665"/>
      <c r="F49" s="665"/>
      <c r="G49" s="11"/>
      <c r="H49" s="77"/>
      <c r="I49" s="11"/>
      <c r="J49" s="5"/>
      <c r="K49" s="5"/>
      <c r="L49" s="4"/>
    </row>
    <row r="50" spans="2:13" ht="12.75">
      <c r="B50" s="4"/>
      <c r="C50" s="11"/>
      <c r="D50" s="665"/>
      <c r="E50" s="665"/>
      <c r="F50" s="665"/>
      <c r="G50" s="5"/>
      <c r="H50" s="104"/>
      <c r="I50" s="11"/>
      <c r="J50" s="5"/>
      <c r="K50" s="5"/>
      <c r="L50" s="4"/>
      <c r="M50" s="101"/>
    </row>
    <row r="51" spans="2:14" ht="12.75">
      <c r="B51" s="4"/>
      <c r="C51" s="5"/>
      <c r="D51" s="13"/>
      <c r="E51" s="665"/>
      <c r="F51" s="666"/>
      <c r="G51" s="666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665"/>
      <c r="F52" s="666"/>
      <c r="G52" s="666"/>
      <c r="H52" s="81"/>
      <c r="I52" s="5"/>
      <c r="J52" s="5"/>
      <c r="K52" s="5"/>
      <c r="L52" s="4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8">
    <mergeCell ref="J2:J6"/>
    <mergeCell ref="E52:G52"/>
    <mergeCell ref="E51:G51"/>
    <mergeCell ref="D42:E42"/>
    <mergeCell ref="C48:D48"/>
    <mergeCell ref="D43:E43"/>
    <mergeCell ref="D50:F50"/>
    <mergeCell ref="D49:F49"/>
    <mergeCell ref="D45:E45"/>
    <mergeCell ref="B4:C4"/>
    <mergeCell ref="G42:I42"/>
    <mergeCell ref="G43:I43"/>
    <mergeCell ref="B7:C7"/>
    <mergeCell ref="D39:E39"/>
    <mergeCell ref="D40:E40"/>
    <mergeCell ref="D41:E41"/>
    <mergeCell ref="G40:I40"/>
    <mergeCell ref="G41:I41"/>
  </mergeCells>
  <conditionalFormatting sqref="B9">
    <cfRule type="expression" priority="1" dxfId="201" stopIfTrue="1">
      <formula>WEEKDAY($B9)=1</formula>
    </cfRule>
    <cfRule type="expression" priority="2" dxfId="1" stopIfTrue="1">
      <formula>WEEKDAY($B9)=7</formula>
    </cfRule>
  </conditionalFormatting>
  <conditionalFormatting sqref="B10:B12 B14:B38 F9:F12 F14:F38 H14:H38 H9:H12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G14:G38 C9:E12 G9:G12 C14:E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F13">
    <cfRule type="expression" priority="7" dxfId="29" stopIfTrue="1">
      <formula>C5=1</formula>
    </cfRule>
    <cfRule type="expression" priority="8" dxfId="50" stopIfTrue="1">
      <formula>WEEKDAY($B13)=7</formula>
    </cfRule>
    <cfRule type="expression" priority="9" dxfId="0" stopIfTrue="1">
      <formula>WEEKDAY($B13)=1</formula>
    </cfRule>
  </conditionalFormatting>
  <conditionalFormatting sqref="C13">
    <cfRule type="expression" priority="10" dxfId="29" stopIfTrue="1">
      <formula>C5=1</formula>
    </cfRule>
    <cfRule type="expression" priority="11" dxfId="1" stopIfTrue="1">
      <formula>WEEKDAY($B13)=7</formula>
    </cfRule>
    <cfRule type="expression" priority="12" dxfId="0" stopIfTrue="1">
      <formula>WEEKDAY($B13)=1</formula>
    </cfRule>
  </conditionalFormatting>
  <conditionalFormatting sqref="D13:E13">
    <cfRule type="expression" priority="13" dxfId="29" stopIfTrue="1">
      <formula>$C5=1</formula>
    </cfRule>
    <cfRule type="expression" priority="14" dxfId="1" stopIfTrue="1">
      <formula>WEEKDAY($B13)=7</formula>
    </cfRule>
    <cfRule type="expression" priority="15" dxfId="0" stopIfTrue="1">
      <formula>WEEKDAY($B13)=1</formula>
    </cfRule>
  </conditionalFormatting>
  <conditionalFormatting sqref="B13">
    <cfRule type="expression" priority="16" dxfId="29" stopIfTrue="1">
      <formula>$C5=1</formula>
    </cfRule>
    <cfRule type="expression" priority="17" dxfId="50" stopIfTrue="1">
      <formula>WEEKDAY($B13)=7</formula>
    </cfRule>
    <cfRule type="expression" priority="18" dxfId="0" stopIfTrue="1">
      <formula>WEEKDAY($B13)=1</formula>
    </cfRule>
  </conditionalFormatting>
  <conditionalFormatting sqref="G13">
    <cfRule type="expression" priority="19" dxfId="29" stopIfTrue="1">
      <formula>$C5=1</formula>
    </cfRule>
    <cfRule type="expression" priority="20" dxfId="1" stopIfTrue="1">
      <formula>WEEKDAY($B13)=7</formula>
    </cfRule>
    <cfRule type="expression" priority="21" dxfId="0" stopIfTrue="1">
      <formula>WEEKDAY($B13)=1</formula>
    </cfRule>
  </conditionalFormatting>
  <conditionalFormatting sqref="H13">
    <cfRule type="expression" priority="22" dxfId="29" stopIfTrue="1">
      <formula>$C5=1</formula>
    </cfRule>
    <cfRule type="expression" priority="23" dxfId="1" stopIfTrue="1">
      <formula>WEEKDAY($B13)=7</formula>
    </cfRule>
    <cfRule type="expression" priority="24" dxfId="0" stopIfTrue="1">
      <formula>WEEKDAY($B13)=1</formula>
    </cfRule>
  </conditionalFormatting>
  <conditionalFormatting sqref="I8:I38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8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Februar "&amp;gewJahr</f>
        <v>Arbeitszeitachweis Februar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5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9" customHeight="1" hidden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8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5.75" customHeight="1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2:14" ht="26.25" customHeight="1"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1:15" s="219" customFormat="1" ht="11.25">
      <c r="A8" s="216"/>
      <c r="B8" s="202">
        <f>DATE(gewJahr,2,1)</f>
        <v>42036</v>
      </c>
      <c r="C8" s="203">
        <f aca="true" t="shared" si="0" ref="C8:C35">WEEKDAY(B8)</f>
        <v>1</v>
      </c>
      <c r="D8" s="291">
        <v>0</v>
      </c>
      <c r="E8" s="291">
        <v>0</v>
      </c>
      <c r="F8" s="280">
        <f>MAX(IF(D8&lt;=E8,E8-D8,"24:00"-D8+E8)-G8,0)</f>
        <v>0</v>
      </c>
      <c r="G8" s="291">
        <v>0.020833333333333332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42037</v>
      </c>
      <c r="C9" s="203">
        <f t="shared" si="0"/>
        <v>2</v>
      </c>
      <c r="D9" s="291">
        <v>0.3333333333333333</v>
      </c>
      <c r="E9" s="291">
        <v>0.75</v>
      </c>
      <c r="F9" s="280">
        <f>MAX(IF(D9&lt;=E9,E9-D9,"24:00"-D9+E9)-G9,0)</f>
        <v>0.39583333333333337</v>
      </c>
      <c r="G9" s="291">
        <v>0.020833333333333332</v>
      </c>
      <c r="H9" s="281">
        <f aca="true" t="shared" si="1" ref="H9:H35">IF(F9-I9&gt;0,F9-I9,0)</f>
        <v>0.39583333333333337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5">B9+1</f>
        <v>42038</v>
      </c>
      <c r="C10" s="203">
        <f t="shared" si="0"/>
        <v>3</v>
      </c>
      <c r="D10" s="291">
        <v>0</v>
      </c>
      <c r="E10" s="291">
        <v>0</v>
      </c>
      <c r="F10" s="280">
        <f>MAX(IF(D10&lt;=E10,E10-D10,"24:00"-D10+E10)-G10,0)</f>
        <v>0</v>
      </c>
      <c r="G10" s="291">
        <v>0.020833333333333332</v>
      </c>
      <c r="H10" s="281">
        <f t="shared" si="1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42039</v>
      </c>
      <c r="C11" s="203">
        <f t="shared" si="0"/>
        <v>4</v>
      </c>
      <c r="D11" s="291">
        <v>0.6875</v>
      </c>
      <c r="E11" s="291">
        <v>0.7916666666666666</v>
      </c>
      <c r="F11" s="280">
        <f>MAX(IF(D11&lt;=E11,E11-D11,"24:00"-D11+E11)-G11,0)</f>
        <v>0.0833333333333333</v>
      </c>
      <c r="G11" s="291">
        <v>0.020833333333333332</v>
      </c>
      <c r="H11" s="281">
        <f t="shared" si="1"/>
        <v>0.0833333333333333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42040</v>
      </c>
      <c r="C12" s="203">
        <f t="shared" si="0"/>
        <v>5</v>
      </c>
      <c r="D12" s="291"/>
      <c r="E12" s="291"/>
      <c r="F12" s="280">
        <f>MAX(IF(D12&lt;=E12,E12-D12,"24:00"-D12+E12)-G12,0)</f>
        <v>0</v>
      </c>
      <c r="G12" s="291"/>
      <c r="H12" s="281">
        <f t="shared" si="1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42041</v>
      </c>
      <c r="C13" s="203">
        <f t="shared" si="0"/>
        <v>6</v>
      </c>
      <c r="D13" s="291">
        <v>0.3333333333333333</v>
      </c>
      <c r="E13" s="291">
        <v>0.5</v>
      </c>
      <c r="F13" s="280">
        <f>IF(D13&lt;=E13,E13-D13,"24:00"-D13+E13)-G13</f>
        <v>0.16666666666666669</v>
      </c>
      <c r="G13" s="291"/>
      <c r="H13" s="281">
        <f t="shared" si="1"/>
        <v>0.16666666666666669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42042</v>
      </c>
      <c r="C14" s="203">
        <f t="shared" si="0"/>
        <v>7</v>
      </c>
      <c r="D14" s="291"/>
      <c r="E14" s="291"/>
      <c r="F14" s="280">
        <f aca="true" t="shared" si="3" ref="F14:F34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42043</v>
      </c>
      <c r="C15" s="203">
        <f t="shared" si="0"/>
        <v>1</v>
      </c>
      <c r="D15" s="291">
        <v>0.20833333333333334</v>
      </c>
      <c r="E15" s="291">
        <v>0.7916666666666666</v>
      </c>
      <c r="F15" s="280">
        <f t="shared" si="3"/>
        <v>0.5833333333333333</v>
      </c>
      <c r="G15" s="291"/>
      <c r="H15" s="281">
        <f t="shared" si="1"/>
        <v>0.5416666666666666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0.04166666666666666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42044</v>
      </c>
      <c r="C16" s="203">
        <f t="shared" si="0"/>
        <v>2</v>
      </c>
      <c r="D16" s="291">
        <v>0.8333333333333334</v>
      </c>
      <c r="E16" s="291">
        <v>0.9583333333333334</v>
      </c>
      <c r="F16" s="280">
        <f t="shared" si="3"/>
        <v>0.125</v>
      </c>
      <c r="G16" s="291"/>
      <c r="H16" s="281">
        <f t="shared" si="1"/>
        <v>0.08333333333333326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0.04166666666666674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42045</v>
      </c>
      <c r="C17" s="203">
        <f t="shared" si="0"/>
        <v>3</v>
      </c>
      <c r="D17" s="291"/>
      <c r="E17" s="291"/>
      <c r="F17" s="280">
        <f t="shared" si="3"/>
        <v>0</v>
      </c>
      <c r="G17" s="291"/>
      <c r="H17" s="281">
        <f t="shared" si="1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42046</v>
      </c>
      <c r="C18" s="203">
        <f t="shared" si="0"/>
        <v>4</v>
      </c>
      <c r="D18" s="291"/>
      <c r="E18" s="291"/>
      <c r="F18" s="280">
        <f t="shared" si="3"/>
        <v>0</v>
      </c>
      <c r="G18" s="291"/>
      <c r="H18" s="281">
        <f t="shared" si="1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42047</v>
      </c>
      <c r="C19" s="203">
        <f t="shared" si="0"/>
        <v>5</v>
      </c>
      <c r="D19" s="291"/>
      <c r="E19" s="291"/>
      <c r="F19" s="280">
        <f t="shared" si="3"/>
        <v>0</v>
      </c>
      <c r="G19" s="291"/>
      <c r="H19" s="281">
        <f t="shared" si="1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42048</v>
      </c>
      <c r="C20" s="203">
        <f t="shared" si="0"/>
        <v>6</v>
      </c>
      <c r="D20" s="291">
        <v>0</v>
      </c>
      <c r="E20" s="291">
        <v>0</v>
      </c>
      <c r="F20" s="280">
        <f t="shared" si="3"/>
        <v>0</v>
      </c>
      <c r="G20" s="291"/>
      <c r="H20" s="281">
        <f t="shared" si="1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116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42049</v>
      </c>
      <c r="C21" s="203">
        <f t="shared" si="0"/>
        <v>7</v>
      </c>
      <c r="D21" s="291">
        <v>0</v>
      </c>
      <c r="E21" s="291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116</v>
      </c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42050</v>
      </c>
      <c r="C22" s="203">
        <f t="shared" si="0"/>
        <v>1</v>
      </c>
      <c r="D22" s="291">
        <v>0</v>
      </c>
      <c r="E22" s="291">
        <v>0</v>
      </c>
      <c r="F22" s="280">
        <f t="shared" si="3"/>
        <v>0</v>
      </c>
      <c r="G22" s="291"/>
      <c r="H22" s="281">
        <f t="shared" si="1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 t="s">
        <v>116</v>
      </c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42051</v>
      </c>
      <c r="C23" s="203">
        <f t="shared" si="0"/>
        <v>2</v>
      </c>
      <c r="D23" s="291"/>
      <c r="E23" s="291"/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42052</v>
      </c>
      <c r="C24" s="203">
        <f t="shared" si="0"/>
        <v>3</v>
      </c>
      <c r="D24" s="291"/>
      <c r="E24" s="291"/>
      <c r="F24" s="280">
        <f t="shared" si="3"/>
        <v>0</v>
      </c>
      <c r="G24" s="291"/>
      <c r="H24" s="281">
        <f t="shared" si="1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42053</v>
      </c>
      <c r="C25" s="203">
        <f t="shared" si="0"/>
        <v>4</v>
      </c>
      <c r="D25" s="291"/>
      <c r="E25" s="291"/>
      <c r="F25" s="280">
        <f t="shared" si="3"/>
        <v>0</v>
      </c>
      <c r="G25" s="291"/>
      <c r="H25" s="281">
        <f t="shared" si="1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42054</v>
      </c>
      <c r="C26" s="203">
        <f t="shared" si="0"/>
        <v>5</v>
      </c>
      <c r="D26" s="291">
        <v>0.9166666666666666</v>
      </c>
      <c r="E26" s="291">
        <v>0.25</v>
      </c>
      <c r="F26" s="280">
        <f t="shared" si="3"/>
        <v>0.33333333333333337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0.33333333333333337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42055</v>
      </c>
      <c r="C27" s="203">
        <f t="shared" si="0"/>
        <v>6</v>
      </c>
      <c r="D27" s="291">
        <v>0.9166666666666666</v>
      </c>
      <c r="E27" s="291">
        <v>0.25</v>
      </c>
      <c r="F27" s="280">
        <f t="shared" si="3"/>
        <v>0.33333333333333337</v>
      </c>
      <c r="G27" s="291"/>
      <c r="H27" s="281">
        <f t="shared" si="1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0.33333333333333337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42056</v>
      </c>
      <c r="C28" s="203">
        <f t="shared" si="0"/>
        <v>7</v>
      </c>
      <c r="D28" s="291">
        <v>0.9166666666666666</v>
      </c>
      <c r="E28" s="291">
        <v>0.25</v>
      </c>
      <c r="F28" s="280">
        <f t="shared" si="3"/>
        <v>0.33333333333333337</v>
      </c>
      <c r="G28" s="291"/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42057</v>
      </c>
      <c r="C29" s="203">
        <f t="shared" si="0"/>
        <v>1</v>
      </c>
      <c r="D29" s="291">
        <v>0.9166666666666666</v>
      </c>
      <c r="E29" s="291">
        <v>0.25</v>
      </c>
      <c r="F29" s="280">
        <f t="shared" si="3"/>
        <v>0.33333333333333337</v>
      </c>
      <c r="G29" s="291"/>
      <c r="H29" s="281">
        <f t="shared" si="1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0.33333333333333337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42058</v>
      </c>
      <c r="C30" s="203">
        <f t="shared" si="0"/>
        <v>2</v>
      </c>
      <c r="D30" s="291"/>
      <c r="E30" s="291"/>
      <c r="F30" s="280">
        <f t="shared" si="3"/>
        <v>0</v>
      </c>
      <c r="G30" s="291"/>
      <c r="H30" s="281">
        <f t="shared" si="1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42059</v>
      </c>
      <c r="C31" s="203">
        <f t="shared" si="0"/>
        <v>3</v>
      </c>
      <c r="D31" s="291"/>
      <c r="E31" s="291"/>
      <c r="F31" s="280">
        <f t="shared" si="3"/>
        <v>0</v>
      </c>
      <c r="G31" s="291"/>
      <c r="H31" s="281">
        <f t="shared" si="1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42060</v>
      </c>
      <c r="C32" s="203">
        <f t="shared" si="0"/>
        <v>4</v>
      </c>
      <c r="D32" s="291">
        <v>0.9166666666666666</v>
      </c>
      <c r="E32" s="291">
        <v>0.25</v>
      </c>
      <c r="F32" s="280">
        <f t="shared" si="3"/>
        <v>0.33333333333333337</v>
      </c>
      <c r="G32" s="291"/>
      <c r="H32" s="281">
        <f t="shared" si="1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0.33333333333333337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42061</v>
      </c>
      <c r="C33" s="203">
        <f t="shared" si="0"/>
        <v>5</v>
      </c>
      <c r="D33" s="291">
        <v>0.9166666666666666</v>
      </c>
      <c r="E33" s="291">
        <v>0.25</v>
      </c>
      <c r="F33" s="280">
        <f t="shared" si="3"/>
        <v>0.33333333333333337</v>
      </c>
      <c r="G33" s="291"/>
      <c r="H33" s="281">
        <f t="shared" si="1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0.33333333333333337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42062</v>
      </c>
      <c r="C34" s="203">
        <f t="shared" si="0"/>
        <v>6</v>
      </c>
      <c r="D34" s="291">
        <v>0.9166666666666666</v>
      </c>
      <c r="E34" s="291">
        <v>0.25</v>
      </c>
      <c r="F34" s="280">
        <f t="shared" si="3"/>
        <v>0.33333333333333337</v>
      </c>
      <c r="G34" s="291"/>
      <c r="H34" s="281">
        <f t="shared" si="1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0.33333333333333337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42063</v>
      </c>
      <c r="C35" s="203">
        <f t="shared" si="0"/>
        <v>7</v>
      </c>
      <c r="D35" s="291">
        <v>0.9166666666666666</v>
      </c>
      <c r="E35" s="291">
        <v>0.25</v>
      </c>
      <c r="F35" s="280">
        <f>MAX(IF(B40&lt;=E35,E35-B40,"24:00"-B40+E35)-G35,0)</f>
        <v>0.25</v>
      </c>
      <c r="G35" s="291"/>
      <c r="H35" s="281">
        <f t="shared" si="1"/>
        <v>0</v>
      </c>
      <c r="I35" s="283">
        <f>MAX(,MIN(E35+(B40&gt;E35),MAX((Stammdaten!$H$9&gt;Stammdaten!$H$10),Stammdaten!$H$10))-MAX(B40,Stammdaten!$H$9))+MAX(,MIN(E35,MAX((Stammdaten!$H$9&gt;Stammdaten!$H$10),Stammdaten!$H$10))-MAX(,Stammdaten!$H$9))*(B40&gt;E35)+MAX(,MIN(E35+(B40&gt;E35),MIN((Stammdaten!$H$9&gt;Stammdaten!$H$10),Stammdaten!$H$10))-MAX(B40,))+MIN(E35,MIN((Stammdaten!$H$9&gt;Stammdaten!$H$10),Stammdaten!$H$10))*(B40&gt;E35)</f>
        <v>0.25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>CHOOSE(OR(AND(MOD(gewJahr,4)=0,MOD(gewJahr,100)&lt;&gt;0),MOD(gewJahr,400)=0)+1,"",B35+1)</f>
      </c>
      <c r="C36" s="203">
        <f>CHOOSE(OR(AND(MOD(gewJahr,4)=0,MOD(gewJahr,100)&lt;&gt;0),MOD(gewJahr,400)=0)+1,"",WEEKDAY(B36))</f>
      </c>
      <c r="D36" s="291">
        <v>0</v>
      </c>
      <c r="E36" s="291">
        <v>0</v>
      </c>
      <c r="F36" s="280">
        <f>CHOOSE(OR(AND(MOD(gewJahr,4)=0,MOD(gewJahr,100)&lt;&gt;0),MOD(gewJahr,400)=0)+1,"",MAX(IF(B41&lt;=E36,E36-B41,"24:00"-B41+E36)-G36,0))</f>
      </c>
      <c r="G36" s="206"/>
      <c r="H36" s="281">
        <f>CHOOSE(OR(AND(MOD(gewJahr,4)=0,MOD(gewJahr,100)&lt;&gt;0),MOD(gewJahr,400)=0)+1,"",F36-I36)</f>
      </c>
      <c r="I36" s="283">
        <f>CHOOSE(OR(AND(MOD(gewJahr,4)=0,MOD(gewJahr,100)&lt;&gt;0),MOD(gewJahr,400)=0)+1,"",MAX(,MIN(E36+(B41&gt;E36),MAX((Stammdaten!$H$9&gt;Stammdaten!$H$10),Stammdaten!$H$10))-MAX(B41,Stammdaten!$H$9))+MAX(,MIN(E36,MAX((Stammdaten!$H$9&gt;Stammdaten!$H$10),Stammdaten!$H$10))-MAX(,Stammdaten!$H$9))*(B41&gt;E36)+MAX(,MIN(E36+(B41&gt;E36),MIN((Stammdaten!$H$9&gt;Stammdaten!$H$10),Stammdaten!$H$10))-MAX(B41,))+MIN(E36,MIN((Stammdaten!$H$9&gt;Stammdaten!$H$10),Stammdaten!$H$10))*(B41&gt;E36))</f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/>
      <c r="C37" s="315">
        <v>0</v>
      </c>
      <c r="D37" s="204"/>
      <c r="E37" s="204"/>
      <c r="F37" s="205"/>
      <c r="G37" s="206"/>
      <c r="H37" s="207"/>
      <c r="I37" s="200"/>
      <c r="J37" s="255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315">
        <v>0</v>
      </c>
      <c r="D38" s="204"/>
      <c r="E38" s="204"/>
      <c r="F38" s="205"/>
      <c r="G38" s="206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6" t="s">
        <v>88</v>
      </c>
      <c r="E39" s="657"/>
      <c r="F39" s="282">
        <f>SUM(F8:F38)</f>
        <v>3.937500000000001</v>
      </c>
      <c r="G39" s="294"/>
      <c r="H39" s="282">
        <f>SUM(H8:H38)</f>
        <v>1.2708333333333333</v>
      </c>
      <c r="I39" s="284">
        <f>SUM(I8:I38)</f>
        <v>2.6666666666666674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476"/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60" t="s">
        <v>122</v>
      </c>
      <c r="E41" s="661"/>
      <c r="F41" s="296">
        <v>0.4791666666666667</v>
      </c>
      <c r="G41" s="662" t="s">
        <v>115</v>
      </c>
      <c r="H41" s="645"/>
      <c r="I41" s="645"/>
      <c r="J41" s="213">
        <f>Jan!J41-J40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0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0.75</v>
      </c>
      <c r="G43" s="653" t="s">
        <v>117</v>
      </c>
      <c r="H43" s="645"/>
      <c r="I43" s="645"/>
      <c r="J43" s="201">
        <f>COUNTIF(J8:J38,"nu")</f>
        <v>3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2.6666666666666674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Arbeitszeitübersicht!E8/24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4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3" ht="12.75">
      <c r="B49" s="4"/>
      <c r="C49" s="11"/>
      <c r="D49" s="665"/>
      <c r="E49" s="665"/>
      <c r="F49" s="665"/>
      <c r="G49" s="5"/>
      <c r="H49" s="104"/>
      <c r="I49" s="11"/>
      <c r="J49" s="5"/>
      <c r="K49" s="5"/>
      <c r="L49" s="4"/>
      <c r="M49" s="101"/>
    </row>
    <row r="50" spans="2:14" ht="12.75">
      <c r="B50" s="4"/>
      <c r="C50" s="5"/>
      <c r="D50" s="13"/>
      <c r="E50" s="665"/>
      <c r="F50" s="666"/>
      <c r="G50" s="666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665"/>
      <c r="F51" s="666"/>
      <c r="G51" s="666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3:12" ht="15.75" customHeight="1" hidden="1"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7">
    <mergeCell ref="B7:C7"/>
    <mergeCell ref="D39:E39"/>
    <mergeCell ref="B4:C4"/>
    <mergeCell ref="J2:J6"/>
    <mergeCell ref="D43:E43"/>
    <mergeCell ref="G43:I43"/>
    <mergeCell ref="D40:E40"/>
    <mergeCell ref="G40:I40"/>
    <mergeCell ref="D41:E41"/>
    <mergeCell ref="G41:I41"/>
    <mergeCell ref="D42:E42"/>
    <mergeCell ref="G42:I42"/>
    <mergeCell ref="D49:F49"/>
    <mergeCell ref="E50:G50"/>
    <mergeCell ref="E51:G51"/>
    <mergeCell ref="C48:D48"/>
    <mergeCell ref="D45:E45"/>
  </mergeCells>
  <conditionalFormatting sqref="B8">
    <cfRule type="expression" priority="21" dxfId="201" stopIfTrue="1">
      <formula>WEEKDAY($B8)=1</formula>
    </cfRule>
    <cfRule type="expression" priority="22" dxfId="1" stopIfTrue="1">
      <formula>WEEKDAY($B8)=7</formula>
    </cfRule>
  </conditionalFormatting>
  <conditionalFormatting sqref="B10:B12 B14:B38 F8:F12 F14:F38 H8:I38">
    <cfRule type="expression" priority="23" dxfId="0" stopIfTrue="1">
      <formula>WEEKDAY($B8)=1</formula>
    </cfRule>
    <cfRule type="expression" priority="24" dxfId="1" stopIfTrue="1">
      <formula>WEEKDAY($B8)=7</formula>
    </cfRule>
  </conditionalFormatting>
  <conditionalFormatting sqref="G14:G38 G8:G12 C8:E12 C14:C38 D37:D38 E13:E38 D13:D34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conditionalFormatting sqref="C13">
    <cfRule type="expression" priority="27" dxfId="29" stopIfTrue="1">
      <formula>C5=1</formula>
    </cfRule>
    <cfRule type="expression" priority="28" dxfId="1" stopIfTrue="1">
      <formula>WEEKDAY($B13)=7</formula>
    </cfRule>
    <cfRule type="expression" priority="29" dxfId="0" stopIfTrue="1">
      <formula>WEEKDAY($B13)=1</formula>
    </cfRule>
  </conditionalFormatting>
  <conditionalFormatting sqref="G13">
    <cfRule type="expression" priority="30" dxfId="29" stopIfTrue="1">
      <formula>C5=1</formula>
    </cfRule>
    <cfRule type="expression" priority="31" dxfId="1" stopIfTrue="1">
      <formula>WEEKDAY($B13)=7</formula>
    </cfRule>
    <cfRule type="expression" priority="32" dxfId="0" stopIfTrue="1">
      <formula>C5=1</formula>
    </cfRule>
  </conditionalFormatting>
  <conditionalFormatting sqref="B13">
    <cfRule type="expression" priority="33" dxfId="29" stopIfTrue="1">
      <formula>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9">
    <cfRule type="expression" priority="36" dxfId="201" stopIfTrue="1">
      <formula>WEEKDAY($B9)=1</formula>
    </cfRule>
    <cfRule type="expression" priority="37" dxfId="1" stopIfTrue="1">
      <formula>WEEKDAY($B9)=7</formula>
    </cfRule>
  </conditionalFormatting>
  <conditionalFormatting sqref="F13">
    <cfRule type="expression" priority="38" dxfId="29" stopIfTrue="1">
      <formula>C5=1</formula>
    </cfRule>
    <cfRule type="expression" priority="39" dxfId="1" stopIfTrue="1">
      <formula>WEEKDAY($B13)=7</formula>
    </cfRule>
    <cfRule type="expression" priority="40" dxfId="0" stopIfTrue="1">
      <formula>WEEKDAY($B13)=1</formula>
    </cfRule>
  </conditionalFormatting>
  <conditionalFormatting sqref="B40">
    <cfRule type="expression" priority="43" dxfId="0" stopIfTrue="1">
      <formula>WEEKDAY($B35)=1</formula>
    </cfRule>
    <cfRule type="expression" priority="44" dxfId="1" stopIfTrue="1">
      <formula>WEEKDAY($B35)=7</formula>
    </cfRule>
  </conditionalFormatting>
  <conditionalFormatting sqref="D35">
    <cfRule type="expression" priority="19" dxfId="0" stopIfTrue="1">
      <formula>WEEKDAY($B35)=1</formula>
    </cfRule>
    <cfRule type="expression" priority="20" dxfId="1" stopIfTrue="1">
      <formula>WEEKDAY($B35)=7</formula>
    </cfRule>
  </conditionalFormatting>
  <conditionalFormatting sqref="D35">
    <cfRule type="expression" priority="17" dxfId="0" stopIfTrue="1">
      <formula>WEEKDAY($B35)=1</formula>
    </cfRule>
    <cfRule type="expression" priority="18" dxfId="1" stopIfTrue="1">
      <formula>WEEKDAY($B35)=7</formula>
    </cfRule>
  </conditionalFormatting>
  <conditionalFormatting sqref="D36">
    <cfRule type="expression" priority="15" dxfId="0" stopIfTrue="1">
      <formula>WEEKDAY($B36)=1</formula>
    </cfRule>
    <cfRule type="expression" priority="16" dxfId="1" stopIfTrue="1">
      <formula>WEEKDAY($B36)=7</formula>
    </cfRule>
  </conditionalFormatting>
  <conditionalFormatting sqref="D36">
    <cfRule type="expression" priority="13" dxfId="0" stopIfTrue="1">
      <formula>WEEKDAY($B36)=1</formula>
    </cfRule>
    <cfRule type="expression" priority="14" dxfId="1" stopIfTrue="1">
      <formula>WEEKDAY($B36)=7</formula>
    </cfRule>
  </conditionalFormatting>
  <conditionalFormatting sqref="D36:E36">
    <cfRule type="expression" priority="11" dxfId="0" stopIfTrue="1">
      <formula>WEEKDAY($B36)=1</formula>
    </cfRule>
    <cfRule type="expression" priority="12" dxfId="1" stopIfTrue="1">
      <formula>WEEKDAY($B36)=7</formula>
    </cfRule>
  </conditionalFormatting>
  <conditionalFormatting sqref="D36:E36">
    <cfRule type="expression" priority="9" dxfId="0" stopIfTrue="1">
      <formula>WEEKDAY($B36)=1</formula>
    </cfRule>
    <cfRule type="expression" priority="10" dxfId="1" stopIfTrue="1">
      <formula>WEEKDAY($B36)=7</formula>
    </cfRule>
  </conditionalFormatting>
  <conditionalFormatting sqref="D36:E36 E35">
    <cfRule type="expression" priority="7" dxfId="0" stopIfTrue="1">
      <formula>WEEKDAY($B35)=1</formula>
    </cfRule>
    <cfRule type="expression" priority="8" dxfId="1" stopIfTrue="1">
      <formula>WEEKDAY($B35)=7</formula>
    </cfRule>
  </conditionalFormatting>
  <conditionalFormatting sqref="D36:E36 E35">
    <cfRule type="expression" priority="5" dxfId="0" stopIfTrue="1">
      <formula>WEEKDAY($B35)=1</formula>
    </cfRule>
    <cfRule type="expression" priority="6" dxfId="1" stopIfTrue="1">
      <formula>WEEKDAY($B35)=7</formula>
    </cfRule>
  </conditionalFormatting>
  <conditionalFormatting sqref="D36:E36 E35">
    <cfRule type="expression" priority="3" dxfId="0" stopIfTrue="1">
      <formula>WEEKDAY($B35)=1</formula>
    </cfRule>
    <cfRule type="expression" priority="4" dxfId="1" stopIfTrue="1">
      <formula>WEEKDAY($B35)=7</formula>
    </cfRule>
  </conditionalFormatting>
  <conditionalFormatting sqref="D36:E36 E35">
    <cfRule type="expression" priority="1" dxfId="0" stopIfTrue="1">
      <formula>WEEKDAY($B35)=1</formula>
    </cfRule>
    <cfRule type="expression" priority="2" dxfId="1" stopIfTrue="1">
      <formula>WEEKDAY($B35)=7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März "&amp;gewJahr</f>
        <v>Arbeitszeitachweis März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17.25" customHeight="1" hidden="1">
      <c r="B4" s="672"/>
      <c r="C4" s="672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4.75" customHeight="1">
      <c r="A7" s="216"/>
      <c r="B7" s="654" t="s">
        <v>38</v>
      </c>
      <c r="C7" s="655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DATE(gewJahr,3,1)</f>
        <v>42064</v>
      </c>
      <c r="C8" s="203">
        <f aca="true" t="shared" si="0" ref="C8:C38">WEEKDAY(B8)</f>
        <v>1</v>
      </c>
      <c r="D8" s="204">
        <v>0.3333333333333333</v>
      </c>
      <c r="E8" s="204">
        <v>0.6666666666666666</v>
      </c>
      <c r="F8" s="280">
        <f>MAX(IF(D8&lt;=E8,E8-D8,"24:00"-D8+E8)-G8,0)</f>
        <v>0.3333333333333333</v>
      </c>
      <c r="G8" s="291"/>
      <c r="H8" s="281">
        <f>IF(F8-I8&gt;0,F8-I8,0)</f>
        <v>0.3333333333333333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42065</v>
      </c>
      <c r="C9" s="203">
        <f t="shared" si="0"/>
        <v>2</v>
      </c>
      <c r="D9" s="204">
        <v>0.3333333333333333</v>
      </c>
      <c r="E9" s="204">
        <v>0.6666666666666666</v>
      </c>
      <c r="F9" s="280">
        <f>MAX(IF(D9&lt;=E9,E9-D9,"24:00"-D9+E9)-G9,0)</f>
        <v>0.3333333333333333</v>
      </c>
      <c r="G9" s="291"/>
      <c r="H9" s="281">
        <f aca="true" t="shared" si="1" ref="H9:H28">IF(F9-I9&gt;0,F9-I9,0)</f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8">B9+1</f>
        <v>42066</v>
      </c>
      <c r="C10" s="203">
        <f t="shared" si="0"/>
        <v>3</v>
      </c>
      <c r="D10" s="204">
        <v>0.3333333333333333</v>
      </c>
      <c r="E10" s="204">
        <v>0.6666666666666666</v>
      </c>
      <c r="F10" s="280">
        <f>MAX(IF(D10&lt;=E10,E10-D10,"24:00"-D10+E10)-G10,0)</f>
        <v>0.3333333333333333</v>
      </c>
      <c r="G10" s="291"/>
      <c r="H10" s="281">
        <f t="shared" si="1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42067</v>
      </c>
      <c r="C11" s="203">
        <f t="shared" si="0"/>
        <v>4</v>
      </c>
      <c r="D11" s="204">
        <v>0.3333333333333333</v>
      </c>
      <c r="E11" s="204">
        <v>0.6666666666666666</v>
      </c>
      <c r="F11" s="280">
        <f>MAX(IF(D11&lt;=E11,E11-D11,"24:00"-D11+E11)-G11,0)</f>
        <v>0.3333333333333333</v>
      </c>
      <c r="G11" s="291"/>
      <c r="H11" s="281">
        <f t="shared" si="1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42068</v>
      </c>
      <c r="C12" s="203">
        <f t="shared" si="0"/>
        <v>5</v>
      </c>
      <c r="D12" s="204">
        <v>0.3333333333333333</v>
      </c>
      <c r="E12" s="204">
        <v>0.5833333333333334</v>
      </c>
      <c r="F12" s="280">
        <f>MAX(IF(D12&lt;=E12,E12-D12,"24:00"-D12+E12)-G12,0)</f>
        <v>0.25000000000000006</v>
      </c>
      <c r="G12" s="291"/>
      <c r="H12" s="281">
        <f t="shared" si="1"/>
        <v>0.25000000000000006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42069</v>
      </c>
      <c r="C13" s="223">
        <f t="shared" si="0"/>
        <v>6</v>
      </c>
      <c r="D13" s="204">
        <v>0</v>
      </c>
      <c r="E13" s="204">
        <v>0</v>
      </c>
      <c r="F13" s="280">
        <f>MAX(IF(D12&lt;=E12,E12-D12,"24:00"-D12+E12)-G12,0)</f>
        <v>0.25000000000000006</v>
      </c>
      <c r="G13" s="291"/>
      <c r="H13" s="281">
        <f t="shared" si="1"/>
        <v>0.25000000000000006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42070</v>
      </c>
      <c r="C14" s="203">
        <f t="shared" si="0"/>
        <v>7</v>
      </c>
      <c r="D14" s="204">
        <v>0</v>
      </c>
      <c r="E14" s="204">
        <v>0</v>
      </c>
      <c r="F14" s="280">
        <f aca="true" t="shared" si="3" ref="F14:F38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42071</v>
      </c>
      <c r="C15" s="203">
        <f t="shared" si="0"/>
        <v>1</v>
      </c>
      <c r="D15" s="204">
        <v>0.3333333333333333</v>
      </c>
      <c r="E15" s="204">
        <v>0.6666666666666666</v>
      </c>
      <c r="F15" s="280">
        <f t="shared" si="3"/>
        <v>0.3333333333333333</v>
      </c>
      <c r="G15" s="291"/>
      <c r="H15" s="281">
        <f t="shared" si="1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42072</v>
      </c>
      <c r="C16" s="203">
        <f t="shared" si="0"/>
        <v>2</v>
      </c>
      <c r="D16" s="204">
        <v>0</v>
      </c>
      <c r="E16" s="204">
        <v>0</v>
      </c>
      <c r="F16" s="280">
        <f t="shared" si="3"/>
        <v>0</v>
      </c>
      <c r="G16" s="291"/>
      <c r="H16" s="281">
        <f t="shared" si="1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42073</v>
      </c>
      <c r="C17" s="203">
        <f t="shared" si="0"/>
        <v>3</v>
      </c>
      <c r="D17" s="204">
        <v>0.3333333333333333</v>
      </c>
      <c r="E17" s="204">
        <v>0.6666666666666666</v>
      </c>
      <c r="F17" s="280">
        <f t="shared" si="3"/>
        <v>0.3333333333333333</v>
      </c>
      <c r="G17" s="291"/>
      <c r="H17" s="281">
        <f t="shared" si="1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42074</v>
      </c>
      <c r="C18" s="203">
        <f t="shared" si="0"/>
        <v>4</v>
      </c>
      <c r="D18" s="204">
        <v>0.3333333333333333</v>
      </c>
      <c r="E18" s="204">
        <v>0.6666666666666666</v>
      </c>
      <c r="F18" s="280">
        <f t="shared" si="3"/>
        <v>0.3333333333333333</v>
      </c>
      <c r="G18" s="291"/>
      <c r="H18" s="281">
        <f t="shared" si="1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42075</v>
      </c>
      <c r="C19" s="203">
        <f t="shared" si="0"/>
        <v>5</v>
      </c>
      <c r="D19" s="204">
        <v>0.3333333333333333</v>
      </c>
      <c r="E19" s="204">
        <v>0.5</v>
      </c>
      <c r="F19" s="280">
        <f t="shared" si="3"/>
        <v>0.16666666666666669</v>
      </c>
      <c r="G19" s="291"/>
      <c r="H19" s="281">
        <f t="shared" si="1"/>
        <v>0.16666666666666669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42076</v>
      </c>
      <c r="C20" s="203">
        <f t="shared" si="0"/>
        <v>6</v>
      </c>
      <c r="D20" s="204">
        <v>0.3333333333333333</v>
      </c>
      <c r="E20" s="204">
        <v>0.6666666666666666</v>
      </c>
      <c r="F20" s="280">
        <f t="shared" si="3"/>
        <v>0.3333333333333333</v>
      </c>
      <c r="G20" s="291"/>
      <c r="H20" s="281">
        <f t="shared" si="1"/>
        <v>0.3333333333333333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42077</v>
      </c>
      <c r="C21" s="203">
        <f t="shared" si="0"/>
        <v>7</v>
      </c>
      <c r="D21" s="204">
        <v>0</v>
      </c>
      <c r="E21" s="204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42078</v>
      </c>
      <c r="C22" s="203">
        <f t="shared" si="0"/>
        <v>1</v>
      </c>
      <c r="D22" s="204">
        <v>0.3333333333333333</v>
      </c>
      <c r="E22" s="204">
        <v>0.6666666666666666</v>
      </c>
      <c r="F22" s="280">
        <f t="shared" si="3"/>
        <v>0.3333333333333333</v>
      </c>
      <c r="G22" s="291"/>
      <c r="H22" s="281">
        <f t="shared" si="1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42079</v>
      </c>
      <c r="C23" s="203">
        <f t="shared" si="0"/>
        <v>2</v>
      </c>
      <c r="D23" s="204">
        <v>0</v>
      </c>
      <c r="E23" s="204">
        <v>0</v>
      </c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42080</v>
      </c>
      <c r="C24" s="203">
        <f t="shared" si="0"/>
        <v>3</v>
      </c>
      <c r="D24" s="204">
        <v>0.3333333333333333</v>
      </c>
      <c r="E24" s="204">
        <v>0.6666666666666666</v>
      </c>
      <c r="F24" s="280">
        <f t="shared" si="3"/>
        <v>0.3333333333333333</v>
      </c>
      <c r="G24" s="291"/>
      <c r="H24" s="281">
        <f t="shared" si="1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42081</v>
      </c>
      <c r="C25" s="203">
        <f t="shared" si="0"/>
        <v>4</v>
      </c>
      <c r="D25" s="204">
        <v>0.3333333333333333</v>
      </c>
      <c r="E25" s="204">
        <v>0.6666666666666666</v>
      </c>
      <c r="F25" s="280">
        <f t="shared" si="3"/>
        <v>0.3333333333333333</v>
      </c>
      <c r="G25" s="291"/>
      <c r="H25" s="281">
        <f t="shared" si="1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42082</v>
      </c>
      <c r="C26" s="203">
        <f t="shared" si="0"/>
        <v>5</v>
      </c>
      <c r="D26" s="204">
        <v>0</v>
      </c>
      <c r="E26" s="204">
        <v>0</v>
      </c>
      <c r="F26" s="280">
        <f t="shared" si="3"/>
        <v>0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 t="s">
        <v>114</v>
      </c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42083</v>
      </c>
      <c r="C27" s="203">
        <f t="shared" si="0"/>
        <v>6</v>
      </c>
      <c r="D27" s="204">
        <v>0.5833333333333334</v>
      </c>
      <c r="E27" s="204">
        <v>0.9791666666666666</v>
      </c>
      <c r="F27" s="280">
        <f t="shared" si="3"/>
        <v>0.39583333333333326</v>
      </c>
      <c r="G27" s="291"/>
      <c r="H27" s="281">
        <f t="shared" si="1"/>
        <v>0.33333333333333326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0.0625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42084</v>
      </c>
      <c r="C28" s="203">
        <f t="shared" si="0"/>
        <v>7</v>
      </c>
      <c r="D28" s="204">
        <v>0</v>
      </c>
      <c r="E28" s="204">
        <v>0</v>
      </c>
      <c r="F28" s="280">
        <f t="shared" si="3"/>
        <v>0</v>
      </c>
      <c r="G28" s="291">
        <v>0.03125</v>
      </c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42085</v>
      </c>
      <c r="C29" s="203">
        <f t="shared" si="0"/>
        <v>1</v>
      </c>
      <c r="D29" s="204">
        <v>0.3333333333333333</v>
      </c>
      <c r="E29" s="204">
        <v>0.5625</v>
      </c>
      <c r="F29" s="280">
        <f t="shared" si="3"/>
        <v>0.19791666666666669</v>
      </c>
      <c r="G29" s="291">
        <v>0.03125</v>
      </c>
      <c r="H29" s="281">
        <f>IF(F29-I29&gt;0,F29-I29,0)</f>
        <v>0.19791666666666669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42086</v>
      </c>
      <c r="C30" s="203">
        <f t="shared" si="0"/>
        <v>2</v>
      </c>
      <c r="D30" s="204">
        <v>0.3333333333333333</v>
      </c>
      <c r="E30" s="204">
        <v>0.6666666666666666</v>
      </c>
      <c r="F30" s="280">
        <f t="shared" si="3"/>
        <v>0.3020833333333333</v>
      </c>
      <c r="G30" s="291">
        <v>0.03125</v>
      </c>
      <c r="H30" s="281">
        <f aca="true" t="shared" si="4" ref="H30:H38">IF(F30-I30&gt;0,F30-I30,0)</f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42087</v>
      </c>
      <c r="C31" s="203">
        <f t="shared" si="0"/>
        <v>3</v>
      </c>
      <c r="D31" s="204">
        <v>0.3333333333333333</v>
      </c>
      <c r="E31" s="204">
        <v>0.6666666666666666</v>
      </c>
      <c r="F31" s="280">
        <f t="shared" si="3"/>
        <v>0.3020833333333333</v>
      </c>
      <c r="G31" s="291">
        <v>0.03125</v>
      </c>
      <c r="H31" s="281">
        <f t="shared" si="4"/>
        <v>0.3020833333333333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42088</v>
      </c>
      <c r="C32" s="203">
        <f t="shared" si="0"/>
        <v>4</v>
      </c>
      <c r="D32" s="204">
        <v>0.3333333333333333</v>
      </c>
      <c r="E32" s="204">
        <v>0.6666666666666666</v>
      </c>
      <c r="F32" s="280">
        <f t="shared" si="3"/>
        <v>0.3020833333333333</v>
      </c>
      <c r="G32" s="291">
        <v>0.03125</v>
      </c>
      <c r="H32" s="281">
        <f t="shared" si="4"/>
        <v>0.3020833333333333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42089</v>
      </c>
      <c r="C33" s="203">
        <f t="shared" si="0"/>
        <v>5</v>
      </c>
      <c r="D33" s="204">
        <v>0.3333333333333333</v>
      </c>
      <c r="E33" s="204">
        <v>0.625</v>
      </c>
      <c r="F33" s="280">
        <f t="shared" si="3"/>
        <v>0.2604166666666667</v>
      </c>
      <c r="G33" s="291">
        <v>0.03125</v>
      </c>
      <c r="H33" s="281">
        <f t="shared" si="4"/>
        <v>0.2604166666666667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42090</v>
      </c>
      <c r="C34" s="203">
        <f t="shared" si="0"/>
        <v>6</v>
      </c>
      <c r="D34" s="204">
        <v>0</v>
      </c>
      <c r="E34" s="204">
        <v>0</v>
      </c>
      <c r="F34" s="280">
        <f t="shared" si="3"/>
        <v>0</v>
      </c>
      <c r="G34" s="291">
        <v>0.03125</v>
      </c>
      <c r="H34" s="281">
        <f t="shared" si="4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42091</v>
      </c>
      <c r="C35" s="203">
        <f t="shared" si="0"/>
        <v>7</v>
      </c>
      <c r="D35" s="204">
        <v>0</v>
      </c>
      <c r="E35" s="204">
        <v>0</v>
      </c>
      <c r="F35" s="280">
        <f t="shared" si="3"/>
        <v>0</v>
      </c>
      <c r="G35" s="291">
        <v>0.03125</v>
      </c>
      <c r="H35" s="281">
        <f t="shared" si="4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42092</v>
      </c>
      <c r="C36" s="203">
        <f t="shared" si="0"/>
        <v>1</v>
      </c>
      <c r="D36" s="204">
        <v>0.3333333333333333</v>
      </c>
      <c r="E36" s="204">
        <v>0.6666666666666666</v>
      </c>
      <c r="F36" s="280">
        <f t="shared" si="3"/>
        <v>0.3020833333333333</v>
      </c>
      <c r="G36" s="291">
        <v>0.03125</v>
      </c>
      <c r="H36" s="281">
        <f t="shared" si="4"/>
        <v>0.3020833333333333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42093</v>
      </c>
      <c r="C37" s="203">
        <f t="shared" si="0"/>
        <v>2</v>
      </c>
      <c r="D37" s="204">
        <v>0.3333333333333333</v>
      </c>
      <c r="E37" s="204">
        <v>0.6666666666666666</v>
      </c>
      <c r="F37" s="280">
        <f t="shared" si="3"/>
        <v>0.3020833333333333</v>
      </c>
      <c r="G37" s="291">
        <v>0.03125</v>
      </c>
      <c r="H37" s="281">
        <f t="shared" si="4"/>
        <v>0.3020833333333333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42094</v>
      </c>
      <c r="C38" s="203">
        <f t="shared" si="0"/>
        <v>3</v>
      </c>
      <c r="D38" s="204">
        <v>0</v>
      </c>
      <c r="E38" s="204">
        <v>0</v>
      </c>
      <c r="F38" s="280">
        <f t="shared" si="3"/>
        <v>0</v>
      </c>
      <c r="G38" s="291">
        <v>0.03125</v>
      </c>
      <c r="H38" s="281">
        <f t="shared" si="4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6" t="s">
        <v>88</v>
      </c>
      <c r="E39" s="657"/>
      <c r="F39" s="282">
        <f>SUM(F8:F38)</f>
        <v>6.697916666666665</v>
      </c>
      <c r="G39" s="294"/>
      <c r="H39" s="282">
        <f>SUM(H8:H38)</f>
        <v>6.635416666666665</v>
      </c>
      <c r="I39" s="284">
        <f>SUM(I8:I38)</f>
        <v>0.0625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42099</v>
      </c>
      <c r="C40" s="208"/>
      <c r="D40" s="658" t="s">
        <v>118</v>
      </c>
      <c r="E40" s="659"/>
      <c r="F40" s="295">
        <v>0.3020833333333333</v>
      </c>
      <c r="G40" s="653" t="s">
        <v>90</v>
      </c>
      <c r="H40" s="645"/>
      <c r="I40" s="645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60" t="s">
        <v>122</v>
      </c>
      <c r="E41" s="661"/>
      <c r="F41" s="296">
        <v>0.9375</v>
      </c>
      <c r="G41" s="662" t="s">
        <v>115</v>
      </c>
      <c r="H41" s="645"/>
      <c r="I41" s="645"/>
      <c r="J41" s="213">
        <f>Feb!J41-J40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1.3020833333333333</v>
      </c>
      <c r="G42" s="653" t="s">
        <v>91</v>
      </c>
      <c r="H42" s="645"/>
      <c r="I42" s="645"/>
      <c r="J42" s="215">
        <f>COUNTIF(J8:J38,"k")</f>
        <v>1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4.895833333333333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1.7083333333333333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0.0625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Arbeitszeitübersicht!F8/24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197"/>
      <c r="D48" s="19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5"/>
      <c r="F49" s="665"/>
      <c r="G49" s="665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5"/>
      <c r="G50" s="666"/>
      <c r="H50" s="666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5"/>
      <c r="G51" s="666"/>
      <c r="H51" s="666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G43:I43"/>
    <mergeCell ref="J2:J6"/>
    <mergeCell ref="D40:E40"/>
    <mergeCell ref="G40:I40"/>
    <mergeCell ref="D41:E41"/>
    <mergeCell ref="G41:I41"/>
    <mergeCell ref="F51:H51"/>
    <mergeCell ref="E49:G49"/>
    <mergeCell ref="B7:C7"/>
    <mergeCell ref="B4:C4"/>
    <mergeCell ref="D39:E39"/>
    <mergeCell ref="F50:H50"/>
    <mergeCell ref="D42:E42"/>
    <mergeCell ref="G42:I42"/>
    <mergeCell ref="D43:E43"/>
    <mergeCell ref="D45:E45"/>
  </mergeCells>
  <conditionalFormatting sqref="B8:B26 H8:H28 F14:F26 F8:F12 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F13">
    <cfRule type="expression" priority="7" dxfId="1" stopIfTrue="1">
      <formula>WEEKDAY($B13)=7</formula>
    </cfRule>
    <cfRule type="expression" priority="8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OR($B27=$B$40,$B27=$B$40+1,$B27=$B$40-2)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OR($B28=$B$40,$B28=$B$40+1,$B28=$B$40-2)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D27:D38 F27:G38 H29 H31:H38">
    <cfRule type="expression" priority="17" dxfId="10" stopIfTrue="1">
      <formula>OR($B27=$B$40,$B27=$B$40+1,$B27=$B$40-2)</formula>
    </cfRule>
    <cfRule type="expression" priority="18" dxfId="1" stopIfTrue="1">
      <formula>WEEKDAY($B27)=7</formula>
    </cfRule>
    <cfRule type="expression" priority="19" dxfId="0" stopIfTrue="1">
      <formula>WEEKDAY($B27)=1</formula>
    </cfRule>
  </conditionalFormatting>
  <conditionalFormatting sqref="B31">
    <cfRule type="expression" priority="20" dxfId="10" stopIfTrue="1">
      <formula>OR($B31=$B$40,$B31=$B$40+1,$B31=$B$40-2)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OR($B30=$B$40,$B30=$B$40+1,$B30=$B$40-2)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8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April "&amp;gewJahr</f>
        <v>Arbeitszeitachweis April 2015</v>
      </c>
      <c r="C2" s="460"/>
      <c r="D2" s="460"/>
      <c r="E2" s="460"/>
      <c r="F2" s="460"/>
      <c r="G2" s="459"/>
      <c r="H2" s="459"/>
      <c r="I2" s="459"/>
      <c r="J2" s="663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8"/>
      <c r="K3" s="14"/>
      <c r="L3" s="13"/>
      <c r="M3" s="13"/>
      <c r="N3" s="13"/>
    </row>
    <row r="4" spans="2:14" ht="12.75" customHeight="1" hidden="1">
      <c r="B4" s="465"/>
      <c r="C4" s="465"/>
      <c r="D4" s="461"/>
      <c r="E4" s="462"/>
      <c r="F4" s="462"/>
      <c r="G4" s="463"/>
      <c r="H4" s="14"/>
      <c r="I4" s="14"/>
      <c r="J4" s="648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8"/>
      <c r="K5" s="5"/>
      <c r="L5" s="4"/>
    </row>
    <row r="6" spans="2:14" ht="12.75">
      <c r="B6" s="43"/>
      <c r="C6" s="43"/>
      <c r="D6" s="43"/>
      <c r="E6" s="43"/>
      <c r="F6" s="43"/>
      <c r="G6" s="43"/>
      <c r="H6" s="43"/>
      <c r="I6" s="43"/>
      <c r="J6" s="664"/>
      <c r="K6" s="78"/>
      <c r="L6" s="5"/>
      <c r="M6" s="5"/>
      <c r="N6" s="5"/>
    </row>
    <row r="7" spans="1:15" s="219" customFormat="1" ht="25.5" customHeight="1">
      <c r="A7" s="216"/>
      <c r="B7" s="673" t="s">
        <v>38</v>
      </c>
      <c r="C7" s="674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24">
        <f>DATE(gewJahr,4,1)</f>
        <v>42095</v>
      </c>
      <c r="C8" s="203">
        <f aca="true" t="shared" si="0" ref="C8:C37">WEEKDAY(B8)</f>
        <v>4</v>
      </c>
      <c r="D8" s="204">
        <v>0.9583333333333334</v>
      </c>
      <c r="E8" s="204">
        <v>0.010416666666666666</v>
      </c>
      <c r="F8" s="280">
        <f>MAX(IF(D8&lt;=E8,E8-D8,"24:00"-D8+E8)-G8,0)</f>
        <v>0.020833333333333294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0.052083333333333294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42096</v>
      </c>
      <c r="C9" s="203">
        <f t="shared" si="0"/>
        <v>5</v>
      </c>
      <c r="D9" s="204">
        <v>0</v>
      </c>
      <c r="E9" s="204">
        <v>0</v>
      </c>
      <c r="F9" s="280">
        <f aca="true" t="shared" si="2" ref="F9:F37">MAX(IF(D9&lt;=E9,E9-D9,"24:00"-D9+E9)-G9,0)</f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42097</v>
      </c>
      <c r="C10" s="203">
        <f t="shared" si="0"/>
        <v>6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42098</v>
      </c>
      <c r="C11" s="203">
        <f t="shared" si="0"/>
        <v>7</v>
      </c>
      <c r="D11" s="204">
        <v>0</v>
      </c>
      <c r="E11" s="204">
        <v>0</v>
      </c>
      <c r="F11" s="280">
        <f t="shared" si="2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42099</v>
      </c>
      <c r="C12" s="203">
        <f t="shared" si="0"/>
        <v>1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42100</v>
      </c>
      <c r="C13" s="203">
        <f t="shared" si="0"/>
        <v>2</v>
      </c>
      <c r="D13" s="204">
        <v>0.3333333333333333</v>
      </c>
      <c r="E13" s="204">
        <v>0.6979166666666666</v>
      </c>
      <c r="F13" s="280">
        <f t="shared" si="2"/>
        <v>0.3333333333333333</v>
      </c>
      <c r="G13" s="204">
        <v>0.03125</v>
      </c>
      <c r="H13" s="281">
        <f t="shared" si="3"/>
        <v>0.3333333333333333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42101</v>
      </c>
      <c r="C14" s="203">
        <f t="shared" si="0"/>
        <v>3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42102</v>
      </c>
      <c r="C15" s="203">
        <f t="shared" si="0"/>
        <v>4</v>
      </c>
      <c r="D15" s="204">
        <v>0.3333333333333333</v>
      </c>
      <c r="E15" s="204">
        <v>0.6979166666666666</v>
      </c>
      <c r="F15" s="280">
        <f t="shared" si="2"/>
        <v>0.3333333333333333</v>
      </c>
      <c r="G15" s="204">
        <v>0.03125</v>
      </c>
      <c r="H15" s="281">
        <f t="shared" si="3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42103</v>
      </c>
      <c r="C16" s="203">
        <f t="shared" si="0"/>
        <v>5</v>
      </c>
      <c r="D16" s="204">
        <v>0.3333333333333333</v>
      </c>
      <c r="E16" s="204">
        <v>0.5729166666666666</v>
      </c>
      <c r="F16" s="280">
        <f t="shared" si="2"/>
        <v>0.20833333333333331</v>
      </c>
      <c r="G16" s="204">
        <v>0.03125</v>
      </c>
      <c r="H16" s="281">
        <f t="shared" si="3"/>
        <v>0.20833333333333331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42104</v>
      </c>
      <c r="C17" s="203">
        <f t="shared" si="0"/>
        <v>6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 t="s">
        <v>113</v>
      </c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42105</v>
      </c>
      <c r="C18" s="203">
        <f t="shared" si="0"/>
        <v>7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 t="s">
        <v>113</v>
      </c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42106</v>
      </c>
      <c r="C19" s="203">
        <f t="shared" si="0"/>
        <v>1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 t="s">
        <v>113</v>
      </c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42107</v>
      </c>
      <c r="C20" s="203">
        <f t="shared" si="0"/>
        <v>2</v>
      </c>
      <c r="D20" s="204">
        <v>0</v>
      </c>
      <c r="E20" s="204">
        <v>0</v>
      </c>
      <c r="F20" s="280">
        <f t="shared" si="2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42108</v>
      </c>
      <c r="C21" s="203">
        <f t="shared" si="0"/>
        <v>3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42109</v>
      </c>
      <c r="C22" s="203">
        <f t="shared" si="0"/>
        <v>4</v>
      </c>
      <c r="D22" s="204">
        <v>0.3333333333333333</v>
      </c>
      <c r="E22" s="204">
        <v>0.6979166666666666</v>
      </c>
      <c r="F22" s="280">
        <f t="shared" si="2"/>
        <v>0.3333333333333333</v>
      </c>
      <c r="G22" s="204">
        <v>0.03125</v>
      </c>
      <c r="H22" s="281">
        <f t="shared" si="3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42110</v>
      </c>
      <c r="C23" s="203">
        <f t="shared" si="0"/>
        <v>5</v>
      </c>
      <c r="D23" s="204">
        <v>0.3333333333333333</v>
      </c>
      <c r="E23" s="204">
        <v>0.5729166666666666</v>
      </c>
      <c r="F23" s="280">
        <f t="shared" si="2"/>
        <v>0.20833333333333331</v>
      </c>
      <c r="G23" s="204">
        <v>0.03125</v>
      </c>
      <c r="H23" s="281">
        <f t="shared" si="3"/>
        <v>0.20833333333333331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42111</v>
      </c>
      <c r="C24" s="203">
        <f t="shared" si="0"/>
        <v>6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42112</v>
      </c>
      <c r="C25" s="203">
        <f t="shared" si="0"/>
        <v>7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42113</v>
      </c>
      <c r="C26" s="203">
        <f t="shared" si="0"/>
        <v>1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42114</v>
      </c>
      <c r="C27" s="203">
        <f t="shared" si="0"/>
        <v>2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42115</v>
      </c>
      <c r="C28" s="203">
        <f t="shared" si="0"/>
        <v>3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42116</v>
      </c>
      <c r="C29" s="203">
        <f t="shared" si="0"/>
        <v>4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42117</v>
      </c>
      <c r="C30" s="203">
        <f t="shared" si="0"/>
        <v>5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42118</v>
      </c>
      <c r="C31" s="203">
        <f t="shared" si="0"/>
        <v>6</v>
      </c>
      <c r="D31" s="204">
        <v>0</v>
      </c>
      <c r="E31" s="204">
        <v>0</v>
      </c>
      <c r="F31" s="280">
        <f t="shared" si="2"/>
        <v>0</v>
      </c>
      <c r="G31" s="204">
        <v>0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42119</v>
      </c>
      <c r="C32" s="203">
        <f t="shared" si="0"/>
        <v>7</v>
      </c>
      <c r="D32" s="204">
        <v>0</v>
      </c>
      <c r="E32" s="204">
        <v>0</v>
      </c>
      <c r="F32" s="280">
        <f t="shared" si="2"/>
        <v>0</v>
      </c>
      <c r="G32" s="204">
        <v>0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42120</v>
      </c>
      <c r="C33" s="203">
        <f t="shared" si="0"/>
        <v>1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42121</v>
      </c>
      <c r="C34" s="203">
        <f t="shared" si="0"/>
        <v>2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42122</v>
      </c>
      <c r="C35" s="203">
        <f t="shared" si="0"/>
        <v>3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42123</v>
      </c>
      <c r="C36" s="203">
        <f t="shared" si="0"/>
        <v>4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42124</v>
      </c>
      <c r="C37" s="203">
        <f t="shared" si="0"/>
        <v>5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225"/>
      <c r="D38" s="288">
        <v>0</v>
      </c>
      <c r="E38" s="202">
        <v>0</v>
      </c>
      <c r="F38" s="202"/>
      <c r="G38" s="202"/>
      <c r="H38" s="278"/>
      <c r="I38" s="202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6" t="s">
        <v>88</v>
      </c>
      <c r="E39" s="657"/>
      <c r="F39" s="282">
        <f>SUM(F8:F38)</f>
        <v>2.1041666666666665</v>
      </c>
      <c r="G39" s="209"/>
      <c r="H39" s="282">
        <f>SUM(H8:H38)</f>
        <v>2.083333333333333</v>
      </c>
      <c r="I39" s="284">
        <f>SUM(I8:I38)</f>
        <v>0.052083333333333294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42099</v>
      </c>
      <c r="C40" s="208"/>
      <c r="D40" s="658" t="s">
        <v>118</v>
      </c>
      <c r="E40" s="659"/>
      <c r="F40" s="295">
        <v>0</v>
      </c>
      <c r="G40" s="653" t="s">
        <v>90</v>
      </c>
      <c r="H40" s="645"/>
      <c r="I40" s="645"/>
      <c r="J40" s="211">
        <f>COUNTIF(J8:J38,"u")</f>
        <v>4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60" t="s">
        <v>122</v>
      </c>
      <c r="E41" s="661"/>
      <c r="F41" s="296">
        <v>0.3333333333333333</v>
      </c>
      <c r="G41" s="662" t="s">
        <v>115</v>
      </c>
      <c r="H41" s="645"/>
      <c r="I41" s="645"/>
      <c r="J41" s="213">
        <f>März!J41-J40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7" t="s">
        <v>123</v>
      </c>
      <c r="E42" s="668"/>
      <c r="F42" s="297">
        <v>0.6666666666666666</v>
      </c>
      <c r="G42" s="653" t="s">
        <v>91</v>
      </c>
      <c r="H42" s="645"/>
      <c r="I42" s="645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60" t="str">
        <f>Stammdaten!$F$23</f>
        <v>Sonderschicht I</v>
      </c>
      <c r="E43" s="661"/>
      <c r="F43" s="296">
        <v>0.9791666666666666</v>
      </c>
      <c r="G43" s="653" t="s">
        <v>117</v>
      </c>
      <c r="H43" s="645"/>
      <c r="I43" s="645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70" t="s">
        <v>185</v>
      </c>
      <c r="E45" s="671"/>
      <c r="F45" s="287">
        <f>$I$39</f>
        <v>0.052083333333333294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Arbeitszeitübersicht!G8/24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9"/>
      <c r="D48" s="669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5"/>
      <c r="E49" s="665"/>
      <c r="F49" s="665"/>
      <c r="G49" s="11"/>
      <c r="H49" s="77"/>
      <c r="I49" s="11"/>
      <c r="J49" s="5"/>
      <c r="K49" s="5"/>
      <c r="L49" s="4"/>
    </row>
    <row r="50" spans="2:14" ht="12.75">
      <c r="B50" s="4"/>
      <c r="C50" s="5"/>
      <c r="D50" s="13"/>
      <c r="E50" s="11"/>
      <c r="F50" s="13"/>
      <c r="G50" s="13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11"/>
      <c r="F51" s="13"/>
      <c r="G51" s="13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4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.5" customHeight="1"/>
  </sheetData>
  <sheetProtection/>
  <mergeCells count="14">
    <mergeCell ref="J2:J6"/>
    <mergeCell ref="D41:E41"/>
    <mergeCell ref="G41:I41"/>
    <mergeCell ref="D42:E42"/>
    <mergeCell ref="G42:I42"/>
    <mergeCell ref="B7:C7"/>
    <mergeCell ref="D39:E39"/>
    <mergeCell ref="D40:E40"/>
    <mergeCell ref="G40:I40"/>
    <mergeCell ref="C48:D48"/>
    <mergeCell ref="D49:F49"/>
    <mergeCell ref="D43:E43"/>
    <mergeCell ref="G43:I43"/>
    <mergeCell ref="D45:E45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OR($B10=$B$40,$B10=$B$40+1,$B10=$B$40-2)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OR($B8=$B$40,$B8=$B$40+1,$B8=$B$40-2)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7">
    <cfRule type="expression" priority="9" dxfId="10" stopIfTrue="1">
      <formula>OR($B8=$B$40,$B8=$B$40+1,$B8=$B$40-2)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conditionalFormatting sqref="B8">
    <cfRule type="expression" priority="12" dxfId="10" stopIfTrue="1">
      <formula>OR($B8=$B$40,$B8=$B$40+1,$B8=$B$40-2)</formula>
    </cfRule>
    <cfRule type="expression" priority="13" dxfId="135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OR($B9=$B$40,$B9=$B$40+1,$B9=$B$40-2)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2014</dc:title>
  <dc:subject/>
  <dc:creator>Gossens/Parmentier</dc:creator>
  <cp:keywords/>
  <dc:description/>
  <cp:lastModifiedBy>Johannes Parmentier</cp:lastModifiedBy>
  <cp:lastPrinted>2013-04-27T14:36:01Z</cp:lastPrinted>
  <dcterms:created xsi:type="dcterms:W3CDTF">2000-03-16T14:16:40Z</dcterms:created>
  <dcterms:modified xsi:type="dcterms:W3CDTF">2016-01-04T14:59:26Z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