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5420" windowHeight="8190" firstSheet="3" activeTab="17"/>
  </bookViews>
  <sheets>
    <sheet name="Stammdaten" sheetId="1" r:id="rId1"/>
    <sheet name="Kalender" sheetId="2" r:id="rId2"/>
    <sheet name="Arbeitszeitübersicht" sheetId="3" r:id="rId3"/>
    <sheet name="Lohnkonto" sheetId="4" r:id="rId4"/>
    <sheet name="Gehaltsabrechnung" sheetId="5" r:id="rId5"/>
    <sheet name="Jan" sheetId="6" r:id="rId6"/>
    <sheet name="Feb" sheetId="7" r:id="rId7"/>
    <sheet name="März" sheetId="8" r:id="rId8"/>
    <sheet name="April" sheetId="9" r:id="rId9"/>
    <sheet name="Mai" sheetId="10" r:id="rId10"/>
    <sheet name="Juni" sheetId="11" r:id="rId11"/>
    <sheet name="Juli" sheetId="12" r:id="rId12"/>
    <sheet name="Aug" sheetId="13" r:id="rId13"/>
    <sheet name="Sep" sheetId="14" r:id="rId14"/>
    <sheet name="Okt" sheetId="15" r:id="rId15"/>
    <sheet name="Nov" sheetId="16" r:id="rId16"/>
    <sheet name="Dez" sheetId="17" r:id="rId17"/>
    <sheet name="Anleitung" sheetId="18" r:id="rId18"/>
  </sheets>
  <definedNames>
    <definedName name="gewJahr">'Stammdaten'!$B$3</definedName>
  </definedNames>
  <calcPr fullCalcOnLoad="1"/>
</workbook>
</file>

<file path=xl/comments1.xml><?xml version="1.0" encoding="utf-8"?>
<comments xmlns="http://schemas.openxmlformats.org/spreadsheetml/2006/main">
  <authors>
    <author>Parmentier</author>
    <author>Wolfgang</author>
  </authors>
  <commentList>
    <comment ref="B3" authorId="0">
      <text>
        <r>
          <rPr>
            <b/>
            <sz val="8"/>
            <rFont val="Tahoma"/>
            <family val="2"/>
          </rPr>
          <t>gewünschtes Jahr eingeben. Dadurch werden alle Blätter umgestellt auf das eingegeben Jahr.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sz val="9"/>
            <rFont val="Tahoma"/>
            <family val="2"/>
          </rPr>
          <t>Regelmäßige wöchentliche Arbeitszeit mal 4,35 = regelmäßige monatliche Arbeitszeit
Dieser Faktor 4,35 ist das Ergebnis einer umgerechneten Normalarbeitszeit im Monat. Er ergibt sich aus der Anzahl der Kalendertage (365), vermindert um die arbeitsfreien Wochenenden (52 x 2 Tage), dividiert durch 12 Monate und nochmals dividiert durch eine 5-Tage-Woche: (365 - 104) : 12 : 5 = 4,35.</t>
        </r>
      </text>
    </comment>
    <comment ref="B16" authorId="1">
      <text>
        <r>
          <rPr>
            <b/>
            <sz val="9"/>
            <rFont val="Tahoma"/>
            <family val="2"/>
          </rPr>
          <t>Kirchensteuersatz:</t>
        </r>
        <r>
          <rPr>
            <sz val="9"/>
            <rFont val="Tahoma"/>
            <family val="2"/>
          </rPr>
          <t xml:space="preserve"> in Baden-Württemberg und Bayern 8%, sonst 9%</t>
        </r>
        <r>
          <rPr>
            <sz val="8"/>
            <rFont val="Tahoma"/>
            <family val="2"/>
          </rPr>
          <t xml:space="preserve">
</t>
        </r>
      </text>
    </comment>
    <comment ref="B17" authorId="1">
      <text>
        <r>
          <rPr>
            <sz val="9"/>
            <rFont val="Tahoma"/>
            <family val="2"/>
          </rPr>
          <t>Hier den Krankenversicherungsbeitragssatz 
eintragen bzw. die Prämie der privaten Krankenversicherung. Wird zur Berechnung der Sozialversicherungsabgaben benötigt und zur Berechnung des Arbeitgeberzuschusses.
Freiwillig Versicherte: Bei (gesetzlichem) Arbeitgeberzuschuss Einstellung wie bei gesetzlich Krankenversicherten; ohne Arbeitgeberzuschuss Einstellung wie bei privat Versicherten.</t>
        </r>
      </text>
    </comment>
    <comment ref="B18" authorId="1">
      <text>
        <r>
          <rPr>
            <sz val="9"/>
            <rFont val="Tahoma"/>
            <family val="2"/>
          </rPr>
          <t>Der</t>
        </r>
        <r>
          <rPr>
            <b/>
            <sz val="9"/>
            <rFont val="Tahoma"/>
            <family val="2"/>
          </rPr>
          <t xml:space="preserve"> Basistarif</t>
        </r>
        <r>
          <rPr>
            <sz val="9"/>
            <rFont val="Tahoma"/>
            <family val="2"/>
          </rPr>
          <t xml:space="preserve"> ist bei</t>
        </r>
        <r>
          <rPr>
            <b/>
            <sz val="9"/>
            <rFont val="Tahoma"/>
            <family val="2"/>
          </rPr>
          <t xml:space="preserve"> privat Versicherten</t>
        </r>
        <r>
          <rPr>
            <sz val="9"/>
            <rFont val="Tahoma"/>
            <family val="2"/>
          </rPr>
          <t xml:space="preserve"> zur Berechnung der Vorsorgepauschale notwendig. Davon wird dann ein erniedrigter (0,67% +PV-Anteil)  Arbeitgeberzuschuss abgezogen (wenn angegeben).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1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2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3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4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5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6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7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6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7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8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9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sharedStrings.xml><?xml version="1.0" encoding="utf-8"?>
<sst xmlns="http://schemas.openxmlformats.org/spreadsheetml/2006/main" count="638" uniqueCount="321">
  <si>
    <t xml:space="preserve">Das Programm ist FreeWare und kann ganz oder in Teilen frei genutzt und auch verändert werden. Beim Erstellen </t>
  </si>
  <si>
    <t xml:space="preserve">dieses Programms wurde schnell klar, dass es unmöglich ist, alle Gegebenheiten zu berücksichtigen. Wenn es </t>
  </si>
  <si>
    <t xml:space="preserve">deshalb zumindest eine Hilfe bei der Erstellung eines eigenen Stundennachweises ist, wäre sein Zweck schon </t>
  </si>
  <si>
    <t>erfüllt:</t>
  </si>
  <si>
    <t>Stammdaten-Blatt:</t>
  </si>
  <si>
    <t xml:space="preserve">- Die einzelnen Abrechnungsmonate lassen sich direkt aufrufen. Ebenso die Arbeitszeit-Jahresübersicht, ein </t>
  </si>
  <si>
    <t>Kalender-Blatt:</t>
  </si>
  <si>
    <t xml:space="preserve">- Da die Zellen teilweise Funktionen enthalten, ist das Kalenderblatt nicht zum Beschreiben, sondern nur zum Ausdruck </t>
  </si>
  <si>
    <t>Arbeitszeit-Jahresübersicht-Blatt:</t>
  </si>
  <si>
    <t>Lohnkonto-Blatt:</t>
  </si>
  <si>
    <t xml:space="preserve">- Beim Aufruf 'Lohnabrechnung' beim jeweiligen Stundennachweis-Monatsblatt werden die errechneten Steuern und </t>
  </si>
  <si>
    <t>Gehaltsabrechnung-Blatt:</t>
  </si>
  <si>
    <t>Stundennachweis-Blätter:</t>
  </si>
  <si>
    <t xml:space="preserve">- Die Summe der Nachtarbeitszeit, der Tages- und Gesamtarbeitszeit wird mit Zellfunktionen errechnet. Die Feiertags-, Sonntag-, </t>
  </si>
  <si>
    <t xml:space="preserve">- Die angegebenen Pausenzeiten werden bei gemischter Tages-/Nachtarbeit nur von der Tagesarbeitszeit abgezogen. Liegt reine </t>
  </si>
  <si>
    <t xml:space="preserve">- In den Fällen von Urlaub, Krankheit und Fortbildung werden für diesen Tag (fälschlich) eingetragene Arbeitszeiten vom Programm </t>
  </si>
  <si>
    <t xml:space="preserve">- Für die Lohnbesteuerung sind die entsprechenden Daten aus der Lohnsteuerkarte des Arbeitnehmers einzutragen. </t>
  </si>
  <si>
    <t xml:space="preserve">- Die täglichen Arbeitsstunden kann man für Montag bis Freitag individuell eingeben. Ebenso die Zeiten für (steuerfreie) </t>
  </si>
  <si>
    <t xml:space="preserve">- Die Sollstunden werden aus den für die einzelnen Wochentage angegeben Arbeitsstunden multipliziert mit der Anzahl </t>
  </si>
  <si>
    <t xml:space="preserve">- Die Urlaubstage werden vom Stammblatt übernommen und jeweils der dann nach dem Monat noch verbleibenden Resturlaub </t>
  </si>
  <si>
    <t>Programm Stundennachweis und Gehaltsabrechnung in EXCEL</t>
  </si>
  <si>
    <t xml:space="preserve">- Die beweglichen Feiertage werden entsprechend der eingegebenen Jahreszahl errechnet (Modul 'Osterdatum'). </t>
  </si>
  <si>
    <t>€</t>
  </si>
  <si>
    <t>Steuerklasse 1 - 6</t>
  </si>
  <si>
    <t>allgemeine(=0) oder besondere (=1) Lsttabelle</t>
  </si>
  <si>
    <t>(Jahres)lohnsteuerfreibetrag auf LStKarte</t>
  </si>
  <si>
    <t>%</t>
  </si>
  <si>
    <t>Solidaritätszuschlag</t>
  </si>
  <si>
    <t>Kirchensteuer</t>
  </si>
  <si>
    <t>Karfreitag</t>
  </si>
  <si>
    <t>Ostermontag</t>
  </si>
  <si>
    <t>Pfingstmontag</t>
  </si>
  <si>
    <t>Fronleichnam</t>
  </si>
  <si>
    <t>Überstunden</t>
  </si>
  <si>
    <t>pro Stunde</t>
  </si>
  <si>
    <t>Grundlohn</t>
  </si>
  <si>
    <t>Lohnart</t>
  </si>
  <si>
    <t>Mustermann, Hans</t>
  </si>
  <si>
    <t xml:space="preserve">Datum </t>
  </si>
  <si>
    <t>Nacht</t>
  </si>
  <si>
    <t>Sonntag</t>
  </si>
  <si>
    <t>Feiertag</t>
  </si>
  <si>
    <t>(Jahres)hinzurechnungsbetrag</t>
  </si>
  <si>
    <t>Neujahr</t>
  </si>
  <si>
    <t>hl. 3 Könige</t>
  </si>
  <si>
    <t>Ostersonntag</t>
  </si>
  <si>
    <t>Tag der Arbeit</t>
  </si>
  <si>
    <t>Pfingstsonntag</t>
  </si>
  <si>
    <t>Maria Himmelfahrt</t>
  </si>
  <si>
    <t>Tag der Einheit</t>
  </si>
  <si>
    <t>Allerheiligen</t>
  </si>
  <si>
    <t>1. Weihnachten</t>
  </si>
  <si>
    <t>2. Weihnachten</t>
  </si>
  <si>
    <t>Zuschläge bei</t>
  </si>
  <si>
    <t>Gesamt</t>
  </si>
  <si>
    <t>Nachtzuschläge von:</t>
  </si>
  <si>
    <t>bis:</t>
  </si>
  <si>
    <t>Stundennachweis und Lohnabrechnung</t>
  </si>
  <si>
    <t>Feiertagsarbeit</t>
  </si>
  <si>
    <t>Sonntagsarbeit</t>
  </si>
  <si>
    <t>Nachtarbeit</t>
  </si>
  <si>
    <t>Urlaubstage/Jahr:</t>
  </si>
  <si>
    <t>Reformationstag</t>
  </si>
  <si>
    <t>Buß + Bettag</t>
  </si>
  <si>
    <t>x</t>
  </si>
  <si>
    <t>Tag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</si>
  <si>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</si>
  <si>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</si>
  <si>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</si>
  <si>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</si>
  <si>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</si>
  <si>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</si>
  <si>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</si>
  <si>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</si>
  <si>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</si>
  <si>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</si>
  <si>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</si>
  <si>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</si>
  <si>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Tag d. Dt. Einheit</t>
  </si>
  <si>
    <t>Arbeitszeit Jahresübersicht von</t>
  </si>
  <si>
    <t>Sollstunden</t>
  </si>
  <si>
    <t>geleistete Std.</t>
  </si>
  <si>
    <t xml:space="preserve">Nacht </t>
  </si>
  <si>
    <t xml:space="preserve">Sonntag </t>
  </si>
  <si>
    <t xml:space="preserve">Feiertag </t>
  </si>
  <si>
    <t>2. Weihnachtstag</t>
  </si>
  <si>
    <t>1. Weihnachtstag</t>
  </si>
  <si>
    <t>Bewegliche Feiertage</t>
  </si>
  <si>
    <t>Gesamtstunden</t>
  </si>
  <si>
    <t>U / K</t>
  </si>
  <si>
    <t>Urlaubstage</t>
  </si>
  <si>
    <t>Krankheitstage</t>
  </si>
  <si>
    <t>Urlaub/      Krank</t>
  </si>
  <si>
    <t>M. Himmelfahrt</t>
  </si>
  <si>
    <t>Hl. Drei Könige</t>
  </si>
  <si>
    <t>Chr. Himmelfahrt</t>
  </si>
  <si>
    <t>wöchentl.Stundensoll</t>
  </si>
  <si>
    <t>Grundzuschlag</t>
  </si>
  <si>
    <t>25 Prozent</t>
  </si>
  <si>
    <t>6,25 Euro</t>
  </si>
  <si>
    <t>Erhöhter Nachtzuschlag</t>
  </si>
  <si>
    <t>40 Prozent</t>
  </si>
  <si>
    <t>10,00 Euro</t>
  </si>
  <si>
    <t>50 Prozent</t>
  </si>
  <si>
    <t>12,50 Euro</t>
  </si>
  <si>
    <t>125 Prozent</t>
  </si>
  <si>
    <t>31,25 Euro</t>
  </si>
  <si>
    <t>Weihnachten/1. Mai</t>
  </si>
  <si>
    <t>150 Prozent</t>
  </si>
  <si>
    <t>37,50 Euro</t>
  </si>
  <si>
    <t>Art des Zuschlags</t>
  </si>
  <si>
    <t>Prozentsatz der Steuerfreiheit nach § 3b EStG</t>
  </si>
  <si>
    <t>Maximal beitragsfreier Zuschlag (je Stunde)</t>
  </si>
  <si>
    <t>U</t>
  </si>
  <si>
    <t>K</t>
  </si>
  <si>
    <t>verbl. Urlaubstage</t>
  </si>
  <si>
    <t>Lehrgang/Bildungsurl.</t>
  </si>
  <si>
    <t>Stunden Feiertage</t>
  </si>
  <si>
    <t>Samstagarbeit</t>
  </si>
  <si>
    <t xml:space="preserve">Krankenkasse </t>
  </si>
  <si>
    <t>BEK</t>
  </si>
  <si>
    <t>Stunden Samstage</t>
  </si>
  <si>
    <t>Stunden Sonntage</t>
  </si>
  <si>
    <t>Samstag</t>
  </si>
  <si>
    <t>Name:</t>
  </si>
  <si>
    <t>Strasse:</t>
  </si>
  <si>
    <t>PLZ/Ort:</t>
  </si>
  <si>
    <t>Kinder(lt. Lohnsteuerkarte)</t>
  </si>
  <si>
    <t>(Jahres)Lohnsteuerfreibetrag</t>
  </si>
  <si>
    <t>% (0=keine)</t>
  </si>
  <si>
    <t>Vorschüsse</t>
  </si>
  <si>
    <t>Gesamt Abzüge</t>
  </si>
  <si>
    <t>Sonn-, Feiertags-, Nachtzuschläge</t>
  </si>
  <si>
    <t>Fahrtgeld</t>
  </si>
  <si>
    <t>Auslagen-Erstattung</t>
  </si>
  <si>
    <t>Auszahlungsbetrag</t>
  </si>
  <si>
    <t xml:space="preserve">http://www.d-l-s.de/html/downloads.html </t>
  </si>
  <si>
    <t>Hauptstrasse 23</t>
  </si>
  <si>
    <t xml:space="preserve">Ort: </t>
  </si>
  <si>
    <t xml:space="preserve">Strasse: </t>
  </si>
  <si>
    <t xml:space="preserve">Urlaubstage </t>
  </si>
  <si>
    <t xml:space="preserve">Resturlaub </t>
  </si>
  <si>
    <r>
      <t xml:space="preserve">Name: </t>
    </r>
    <r>
      <rPr>
        <sz val="10"/>
        <color indexed="22"/>
        <rFont val="Arial"/>
        <family val="2"/>
      </rPr>
      <t xml:space="preserve"> </t>
    </r>
  </si>
  <si>
    <t>Bruttoarbeitsentgelt</t>
  </si>
  <si>
    <t>Stunden Nachtschicht</t>
  </si>
  <si>
    <t>Stunden</t>
  </si>
  <si>
    <t>Zuschlag/Std.</t>
  </si>
  <si>
    <t>- sonst. Arbeit</t>
  </si>
  <si>
    <t xml:space="preserve">Arbeitsblatt zu finden unter </t>
  </si>
  <si>
    <t>Gesamt steuerfreie Bezüge</t>
  </si>
  <si>
    <t>gewünschtes Jahr eingeben</t>
  </si>
  <si>
    <t>Zeitzuschläge:</t>
  </si>
  <si>
    <t>Zeitzuschläge</t>
  </si>
  <si>
    <t>Stunden n. Sonderver.</t>
  </si>
  <si>
    <t>Daten für die Lohnbesteuerung</t>
  </si>
  <si>
    <r>
      <t xml:space="preserve">Angabe der Zeiten in der Form </t>
    </r>
    <r>
      <rPr>
        <b/>
        <sz val="9"/>
        <color indexed="48"/>
        <rFont val="Arial"/>
        <family val="2"/>
      </rPr>
      <t>10:35</t>
    </r>
    <r>
      <rPr>
        <sz val="9"/>
        <color indexed="48"/>
        <rFont val="Arial"/>
        <family val="2"/>
      </rPr>
      <t xml:space="preserve"> </t>
    </r>
  </si>
  <si>
    <t>Montag</t>
  </si>
  <si>
    <t>Dienstag</t>
  </si>
  <si>
    <t>Mittwoch</t>
  </si>
  <si>
    <t>Donnerstag</t>
  </si>
  <si>
    <t>Freitag</t>
  </si>
  <si>
    <t>Arbeits-</t>
  </si>
  <si>
    <t>stunden:</t>
  </si>
  <si>
    <t>Monat</t>
  </si>
  <si>
    <t xml:space="preserve"> 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</si>
  <si>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2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</si>
  <si>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t>Kirchensteuer (0=keine, 8=8%, 9=9%)</t>
  </si>
  <si>
    <r>
      <t>Krankenversicherung</t>
    </r>
    <r>
      <rPr>
        <sz val="10"/>
        <rFont val="Arial"/>
        <family val="0"/>
      </rPr>
      <t xml:space="preserve"> % bzw. </t>
    </r>
    <r>
      <rPr>
        <b/>
        <sz val="10"/>
        <color indexed="60"/>
        <rFont val="Arial"/>
        <family val="2"/>
      </rPr>
      <t xml:space="preserve">PKV(incl.PflegeV) in € </t>
    </r>
  </si>
  <si>
    <t>%/€</t>
  </si>
  <si>
    <t>Arbeitgeberzuschuss nein=0, ja=1</t>
  </si>
  <si>
    <t>kinderlos u. über 23jährig (PflegeV)  nein=0 ja=1</t>
  </si>
  <si>
    <t>Arbeitsstelle in Ostdeutschland nein=0 ja=1</t>
  </si>
  <si>
    <t>Arbeitsstelle in Sachsen nein=0 ja=1</t>
  </si>
  <si>
    <t>Urlaubsgeld</t>
  </si>
  <si>
    <t>Weinachtsgeld</t>
  </si>
  <si>
    <t>Sonderzahlungen</t>
  </si>
  <si>
    <r>
      <t>vom FA mitgeteilter Ehegattenfaktor</t>
    </r>
    <r>
      <rPr>
        <sz val="8"/>
        <color indexed="12"/>
        <rFont val="Arial"/>
        <family val="2"/>
      </rPr>
      <t xml:space="preserve"> (</t>
    </r>
    <r>
      <rPr>
        <sz val="8"/>
        <color indexed="10"/>
        <rFont val="Arial"/>
        <family val="2"/>
      </rPr>
      <t>nur bei StKl IV</t>
    </r>
    <r>
      <rPr>
        <sz val="8"/>
        <color indexed="12"/>
        <rFont val="Arial"/>
        <family val="2"/>
      </rPr>
      <t>)</t>
    </r>
  </si>
  <si>
    <t>Tage Fortbildung</t>
  </si>
  <si>
    <t>Summe</t>
  </si>
  <si>
    <t>Lohnkonto</t>
  </si>
  <si>
    <t>Geburtsdatum</t>
  </si>
  <si>
    <t>10062 Berlin</t>
  </si>
  <si>
    <r>
      <t xml:space="preserve">wenn örtlich Feiertag </t>
    </r>
    <r>
      <rPr>
        <b/>
        <i/>
        <sz val="9"/>
        <rFont val="Arial"/>
        <family val="2"/>
      </rPr>
      <t>x</t>
    </r>
    <r>
      <rPr>
        <i/>
        <sz val="9"/>
        <rFont val="Arial"/>
        <family val="2"/>
      </rPr>
      <t xml:space="preserve"> eingeben</t>
    </r>
  </si>
  <si>
    <t>Stunden Nachtarbeit</t>
  </si>
  <si>
    <t>-&gt; dann 'neu berechnen'</t>
  </si>
  <si>
    <t>Überstunden werden nicht übertragen!</t>
  </si>
  <si>
    <t>bei Feiertagen mit höheren Zuschlägen</t>
  </si>
  <si>
    <t>Extra-Zuschlag unter 'Stunden nach</t>
  </si>
  <si>
    <t>-</t>
  </si>
  <si>
    <t>Jan</t>
  </si>
  <si>
    <t>Feb</t>
  </si>
  <si>
    <t xml:space="preserve">Mai </t>
  </si>
  <si>
    <t xml:space="preserve">Juli </t>
  </si>
  <si>
    <t>Aug</t>
  </si>
  <si>
    <t>Sep</t>
  </si>
  <si>
    <t>Okt</t>
  </si>
  <si>
    <t>Nov</t>
  </si>
  <si>
    <t>Dez</t>
  </si>
  <si>
    <t>Lohnsteuer</t>
  </si>
  <si>
    <t>KV -AN</t>
  </si>
  <si>
    <t>RV - AN</t>
  </si>
  <si>
    <t>PV - AN</t>
  </si>
  <si>
    <t>KV - AG</t>
  </si>
  <si>
    <t>RV - AG</t>
  </si>
  <si>
    <t>PV - AG</t>
  </si>
  <si>
    <t>AV - AG</t>
  </si>
  <si>
    <t>Einmalbezüge</t>
  </si>
  <si>
    <t>Steuerfreie Bezüge</t>
  </si>
  <si>
    <t>AV - AN</t>
  </si>
  <si>
    <t>Umlage 1</t>
  </si>
  <si>
    <t>BG-Beitrag</t>
  </si>
  <si>
    <t>Abrechnungsmonat auswählen</t>
  </si>
  <si>
    <t xml:space="preserve">=Zelle kann be-/überschrieben werden </t>
  </si>
  <si>
    <t>Gesamt-Bruttolohn</t>
  </si>
  <si>
    <t>Daten f. Arbeitgeberabgaben</t>
  </si>
  <si>
    <t>Umlagen U2 (Mutterschaftsgeld - 100%)</t>
  </si>
  <si>
    <t>Beitrag Berufsgenossenschaft (z.B. GefTarifStelle 06)</t>
  </si>
  <si>
    <t>Buchungsdatum</t>
  </si>
  <si>
    <t>Datum:</t>
  </si>
  <si>
    <t>Sondervereinbarung' zusätzlich abrechnen</t>
  </si>
  <si>
    <t>- Die Teile der Tabellen mit Zellfunktionen sind mit AutoForm geschütz. Zum Kopieren der Zellfunktionen Bereich mit rechter</t>
  </si>
  <si>
    <t xml:space="preserve">  Maustaste aktivieren und wegschieben, verkleinern bzw. auch löschen.</t>
  </si>
  <si>
    <t xml:space="preserve">  gegeben ist, hier gleiche Anfangs- und Endzeit einsetzen. Dann berücksichtigt das Programm diese Sonderzeit nicht.</t>
  </si>
  <si>
    <t xml:space="preserve">  Örtliche Feiertage mit 'x' kennzeichnen, damit sie das Programm berücksichtigt.</t>
  </si>
  <si>
    <t xml:space="preserve">  Jahreskalender und das Lohnkonto.</t>
  </si>
  <si>
    <t xml:space="preserve">  der jeweiligen Wochentage im Monat errechnet und davon die Arbeitsstunden für die Werktage, die Feiertage sind </t>
  </si>
  <si>
    <t xml:space="preserve">  abgezogen (Zellfunktion).</t>
  </si>
  <si>
    <t xml:space="preserve">  bzw. auch löschen.</t>
  </si>
  <si>
    <t xml:space="preserve">  Sozialversicherungsbeiträge sowie einige andere Werte aus der Monatsgehaltsabrechnung auch in die jeweiligen Monatsspalte </t>
  </si>
  <si>
    <t xml:space="preserve">  erneuten Aufruf 'Lohnabrechnung' vom entsprechenden Stundennachweis-Monatsblatt überschrieben. Die Zellen der </t>
  </si>
  <si>
    <t xml:space="preserve">  Monatsspalten enthalten keine Zellfunktionen, können also jederzeit einfach gelöscht werde. Nur die Zellen der Spalte </t>
  </si>
  <si>
    <t xml:space="preserve">  'Gesamt' (grau unterlegt) enthalten die Summenformeln und sollten deshalb nicht gelöscht werden.</t>
  </si>
  <si>
    <t xml:space="preserve">- Datum, Gesamt-, Tag- und Nachtarbeitszeiten werden mit Zellfunktionen errechnet. Auch die Zellen der 'Kommen' und </t>
  </si>
  <si>
    <t xml:space="preserve">  'Gehen' -Spalten sowie die Pause-Spalten sind bedingt formatiert (Sa, So und Feiertag farblich hervorgehoben) und dürfen </t>
  </si>
  <si>
    <t xml:space="preserve">  deshalb nicht direkt gelöscht oder kopiert sondern nur überschrieben werden. Löschung der Arbeitsanfang- und -ende-Zeiten </t>
  </si>
  <si>
    <t xml:space="preserve">  mit 'C'-Button durchführen. Bei gleicher Zeit für mehrere Zellen in die Befehlzeile die Zeit eintragen, kopieren und dann nach</t>
  </si>
  <si>
    <t xml:space="preserve">  Aktivierung der entsprechenden Zellen 'Einfügen' . Die bedingten Formatierungen bleiben dann erhalten.</t>
  </si>
  <si>
    <t xml:space="preserve">  Nachtarbeit vor, bleibt eine eingetragene Pausenzeit unberücksichtigt. Sollte dies notwendig sein, muss eine entsprechend um </t>
  </si>
  <si>
    <t xml:space="preserve">  die Pausenzeit verkürzte Nachtarbeitszeit eingetragen werden. </t>
  </si>
  <si>
    <t xml:space="preserve">  gelöscht.</t>
  </si>
  <si>
    <t xml:space="preserve">  errechnet und in die verbleibenden Monate übertragen.</t>
  </si>
  <si>
    <r>
      <t xml:space="preserve">  (und dann gegebenenfalls erst Beschreiben) gedacht. </t>
    </r>
    <r>
      <rPr>
        <sz val="10"/>
        <color indexed="10"/>
        <rFont val="Arial"/>
        <family val="2"/>
      </rPr>
      <t>Blattschutz!</t>
    </r>
  </si>
  <si>
    <t>Umlagen U1 (Lohnfortzahlung im Krankheitsfall - 65%)</t>
  </si>
  <si>
    <t>- Erst durch Anklicken des Befehlsbutton 'Aktualisieren' berücksichtigt Programm die zusätzlich eingegeben Arbeitszeiten.</t>
  </si>
  <si>
    <t xml:space="preserve">  Bei Anklicken von 'Lohnabrechnung' wird zunächst nochmals eine Aktualisierung durchgeführt.</t>
  </si>
  <si>
    <t>http:/www.parmentier.de/steuer/stundenabrechnung(1.0).xls</t>
  </si>
  <si>
    <t xml:space="preserve">   Einen Vorgänger dieser Programmversion findet man unter</t>
  </si>
  <si>
    <t>Uhrzeit
Anfang</t>
  </si>
  <si>
    <t>Uhrzeit
Ende</t>
  </si>
  <si>
    <t>Arbeits-Dauer</t>
  </si>
  <si>
    <t>Pause in Std./Min.</t>
  </si>
  <si>
    <t>Ort, Datum</t>
  </si>
  <si>
    <t>Geburtsdatum T.M.JJJJ</t>
  </si>
  <si>
    <t>Umlage 2</t>
  </si>
  <si>
    <t>StdLohn</t>
  </si>
  <si>
    <t>Arbeitsstd</t>
  </si>
  <si>
    <t>1,5% Arbeitslosenversicherung</t>
  </si>
  <si>
    <t>Gehalt/Bruttolohn</t>
  </si>
  <si>
    <t xml:space="preserve">  der Bruttolohn errechnet.</t>
  </si>
  <si>
    <t>- Tabelle ist mit AutoForm geschütz. Zum Kopieren der Zellfunktionen Bereich mit rechter Maustaste aktivieren und wegschieben</t>
  </si>
  <si>
    <t>Sonderschicht I</t>
  </si>
  <si>
    <t>Sonderschicht II</t>
  </si>
  <si>
    <t>Lohnart: Bezeichnungen in weißen</t>
  </si>
  <si>
    <t>Feldern können frei gewählt werden.</t>
  </si>
  <si>
    <t>Bezeichnungen werden in Abrechnung</t>
  </si>
  <si>
    <t>übernommen.</t>
  </si>
  <si>
    <r>
      <t xml:space="preserve">  allem die monatlichen Stundennachweise hinsichtlich Feiertagen usw. an das neu eingegeben Jahr angepasst, </t>
    </r>
    <r>
      <rPr>
        <b/>
        <sz val="10"/>
        <rFont val="Arial"/>
        <family val="2"/>
      </rPr>
      <t xml:space="preserve">nicht </t>
    </r>
  </si>
  <si>
    <t xml:space="preserve">  Nachtzuschläge sowie für einen anderen Zuschlag (Beispiel Schichtarbeit). Wenn ein solcher Zuschlag nicht </t>
  </si>
  <si>
    <t>- Die geleisteten Arbeitsstunden werden aus dem jeweiligen Monats-Stundennachweis übernommen. Die dabei geleisteten</t>
  </si>
  <si>
    <t xml:space="preserve">  Überstunden müssen eingetragen werden. Die Übernahme der Nacht-, Sonntags-,   Feiertags- und Sonderarbeitsstunden</t>
  </si>
  <si>
    <t xml:space="preserve">  sowie die Krankheits-, Fortbildungs- und Urlaubstage werden aus dem jeweiligen Monatsblatt in die Gehaltsabrechnung</t>
  </si>
  <si>
    <t xml:space="preserve">  übernommen.</t>
  </si>
  <si>
    <t xml:space="preserve">- Außer den gelb unterlegten und den Arbeitsbezeichnungen sind die Zellen nicht zum Be-/Überschreiben. Die Werte werden  </t>
  </si>
  <si>
    <t xml:space="preserve">  geschrieben. Normalerweise wird mir dem Befehl-Button 'Lohnabrechnung' dieses Makro aufgerufen und anschließend das</t>
  </si>
  <si>
    <t xml:space="preserve">  Gehaltsabrechnung-Blatt. Um Urlaubsgeld, Weihnachtsgeld usw. zu berücksichtigen, muss nach Eintrag dieser Werte ins</t>
  </si>
  <si>
    <t xml:space="preserve">  Gehaltsabrechnung-Blatt der Befehl-Button 'neu berechnen' angeklickt werden. Dadurch erfolgt eine neue Steuer- und Sozialabgaben- </t>
  </si>
  <si>
    <t xml:space="preserve">  berechnung und die neuen Werte werden auch in das Lohnkonto übertragen.</t>
  </si>
  <si>
    <t xml:space="preserve">  formel von 2012 mit dem neuen Faktor für den Bereich von 400.01-450 € ebenso die Sozialversicherungsbeiträge errechnet.</t>
  </si>
  <si>
    <t xml:space="preserve">  Wochentags- (z.B.) Samstag- und Sonderarbeitszeit wird mit VBA-Funktionen im Makro 'Zeitberechnung' ermittelt, wobei </t>
  </si>
  <si>
    <t xml:space="preserve">  zunächst geprüft wird, ob an den Feier-, Sonn- und Samstagen des gewählten Monats eine Arbeitszeit zu ermitteln ist. Diese </t>
  </si>
  <si>
    <t xml:space="preserve">  werden dann addiert. Liegt der Feiertag auf einem Sonntag, wird keine Sonntagsarbeitszeit dafür errechnet. </t>
  </si>
  <si>
    <t xml:space="preserve">  'Zeitberechnung' entsprechend geändert werden (statt Wochentag 7 entsprechenden eintragen).</t>
  </si>
  <si>
    <t>- Wenn statt am Samstag an einem anderen Wochentag ein besonderer Lohnzuschlag bezahlt wird, muß das Makro</t>
  </si>
  <si>
    <t>- Die Sonderschichten I bzw. II müssen spätestens um 23:59 enden!</t>
  </si>
  <si>
    <t>Rentenanwartschaft nein=0 ja=1</t>
  </si>
  <si>
    <t>kinderlos</t>
  </si>
  <si>
    <t>Sachsen</t>
  </si>
  <si>
    <t>Neue Bundesländer</t>
  </si>
  <si>
    <t>Steuerklasse</t>
  </si>
  <si>
    <t>Zuschuß zur privaten Krankenversicherung</t>
  </si>
  <si>
    <t>die Zeilen 14 bis 16 sind zur Eingabe von</t>
  </si>
  <si>
    <t>Einmalzahlungen vorgesehen.</t>
  </si>
  <si>
    <t>in Zeile 22 werden nur geldwerte Vorteile</t>
  </si>
  <si>
    <t>berücksichtigt (kein Auszahlungsbetrag)</t>
  </si>
  <si>
    <t>Geringfügige Beschäftigung wird nicht be-</t>
  </si>
  <si>
    <t xml:space="preserve">rücksichtigt. </t>
  </si>
  <si>
    <t>Essenszuschuss</t>
  </si>
  <si>
    <t xml:space="preserve">                Lohnsteuer</t>
  </si>
  <si>
    <r>
      <t xml:space="preserve">  (</t>
    </r>
    <r>
      <rPr>
        <u val="single"/>
        <sz val="10"/>
        <rFont val="Arial"/>
        <family val="2"/>
      </rPr>
      <t>nicht</t>
    </r>
    <r>
      <rPr>
        <sz val="10"/>
        <rFont val="Arial"/>
        <family val="2"/>
      </rPr>
      <t xml:space="preserve"> als Nachtarbeit) eingeben.</t>
    </r>
  </si>
  <si>
    <t xml:space="preserve">  Um die höhere Zuschläge bei Sonn- und Feiertagen zu berücksichtigen, statt Nachtarbeit geleistete Stunden als Tagesarbeit</t>
  </si>
  <si>
    <t>(Jahres)Lstfreibetrag</t>
  </si>
  <si>
    <t>(Jahres)LSthinzurechnungsbetrag</t>
  </si>
  <si>
    <t>- laufende geldwerte Vorteile (Dienstwagen usw.)</t>
  </si>
  <si>
    <t>schon abgerechnete Einmalzahlungen</t>
  </si>
  <si>
    <r>
      <rPr>
        <b/>
        <sz val="10"/>
        <rFont val="Arial"/>
        <family val="2"/>
      </rPr>
      <t>KV-Zusatzbeitrag</t>
    </r>
    <r>
      <rPr>
        <sz val="10"/>
        <rFont val="Arial"/>
        <family val="2"/>
      </rPr>
      <t xml:space="preserve"> % </t>
    </r>
    <r>
      <rPr>
        <b/>
        <sz val="10"/>
        <color indexed="60"/>
        <rFont val="Arial"/>
        <family val="2"/>
      </rPr>
      <t xml:space="preserve">bzw. PKV Basistarif </t>
    </r>
    <r>
      <rPr>
        <sz val="10"/>
        <color indexed="60"/>
        <rFont val="Arial"/>
        <family val="2"/>
      </rPr>
      <t>(incl. PV)</t>
    </r>
    <r>
      <rPr>
        <b/>
        <sz val="10"/>
        <color indexed="12"/>
        <rFont val="Arial"/>
        <family val="2"/>
      </rPr>
      <t xml:space="preserve"> </t>
    </r>
    <r>
      <rPr>
        <b/>
        <sz val="8"/>
        <color indexed="12"/>
        <rFont val="Arial"/>
        <family val="2"/>
      </rPr>
      <t>im Monat</t>
    </r>
  </si>
  <si>
    <t>Zur Sicherheit mindesten  2 x 'neu berechnen'</t>
  </si>
  <si>
    <t>anklicken (bis Werte unverändert bleiben).</t>
  </si>
  <si>
    <t>steuer@parmentier.de</t>
  </si>
  <si>
    <t xml:space="preserve">  Statt dem Monatslohn werden vom Programm die Arbeitsstunden übernommen und mit dem Stundenlohn</t>
  </si>
  <si>
    <t xml:space="preserve">  jedoch die Steuerberechnung. </t>
  </si>
  <si>
    <t xml:space="preserve">  eingetragen. Dies erfolgt mit einem Makro (Teil des Makro Gehaltsrechner2016). Die jeweiligen Monatswerte werden beim </t>
  </si>
  <si>
    <t xml:space="preserve">  mit Zellfunktionen z.B aus dem Stammdaten-Blatt übernommen, bzw. mit Makro aus dem Gehaltsrechner2016-Makro hinein-</t>
  </si>
  <si>
    <r>
      <t>Gleitzone (450-850 €)</t>
    </r>
    <r>
      <rPr>
        <sz val="10"/>
        <rFont val="Arial"/>
        <family val="0"/>
      </rPr>
      <t xml:space="preserve"> nein=0, ja=1</t>
    </r>
  </si>
  <si>
    <t>Lohn-/Gehaltsabrechnung 2018</t>
  </si>
  <si>
    <t xml:space="preserve">- Programm ist für 2018 angepasst. Durch Eingabe einer anderen Jahreszahl werden die Arbeitsmappen, d.h. vor </t>
  </si>
  <si>
    <r>
      <t xml:space="preserve">- </t>
    </r>
    <r>
      <rPr>
        <b/>
        <sz val="10"/>
        <rFont val="Arial"/>
        <family val="2"/>
      </rPr>
      <t>Gleitzone:</t>
    </r>
    <r>
      <rPr>
        <sz val="10"/>
        <rFont val="Arial"/>
        <family val="2"/>
      </rPr>
      <t xml:space="preserve">  Programm berücksichtigt 2018 eine Gleitzone von 450.01-850 €. Bei Eingabe von '2' werden nach der Berechnungs-</t>
    </r>
  </si>
  <si>
    <t>9,3 % Rentenversicherung</t>
  </si>
  <si>
    <t>St./Urlaubst. berechn.:</t>
  </si>
  <si>
    <t>Gesamtst. + Urlaub + Krank</t>
  </si>
  <si>
    <t>Insolvenzumlage 0,06%</t>
  </si>
  <si>
    <t xml:space="preserve">Version 25.06.2018       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</si>
</sst>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\€"/>
    <numFmt numFmtId="173" formatCode="dd/mm"/>
    <numFmt numFmtId="174" formatCode="0.000"/>
    <numFmt numFmtId="175" formatCode="ddd"/>
    <numFmt numFmtId="176" formatCode="yyyy"/>
    <numFmt numFmtId="177" formatCode="[hh]:mm"/>
    <numFmt numFmtId="178" formatCode="_-* #,##0.00\ [$€-1]_-;\-* #,##0.00\ [$€-1]_-;_-* &quot;-&quot;??\ [$€-1]_-"/>
    <numFmt numFmtId="179" formatCode="d/m/yyyy"/>
    <numFmt numFmtId="180" formatCode="h:mm"/>
    <numFmt numFmtId="181" formatCode="#,##0.00\ &quot;€&quot;"/>
    <numFmt numFmtId="182" formatCode="ddd\ \ \ dd/mmm"/>
    <numFmt numFmtId="183" formatCode="dd\ ddd"/>
    <numFmt numFmtId="184" formatCode="d/m"/>
    <numFmt numFmtId="185" formatCode="d/\ mmm/\ yyyy"/>
    <numFmt numFmtId="186" formatCode="0.0"/>
    <numFmt numFmtId="187" formatCode="#,##0_ ;\-#,##0\ "/>
    <numFmt numFmtId="188" formatCode="#,##0.00\ _€"/>
    <numFmt numFmtId="189" formatCode="#,##0.00\ [$€-1];\-#,##0.00\ [$€-1]"/>
    <numFmt numFmtId="190" formatCode="[h]:mm"/>
    <numFmt numFmtId="191" formatCode="[$-F400]h:mm:ss\ AM/PM"/>
    <numFmt numFmtId="192" formatCode="h:mm;@"/>
    <numFmt numFmtId="193" formatCode="[$-407]dddd\,\ d\.\ mmmm\ yyyy"/>
    <numFmt numFmtId="194" formatCode="#,##0.00_ ;\-#,##0.00\ "/>
  </numFmts>
  <fonts count="10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16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Tahoma"/>
      <family val="2"/>
    </font>
    <font>
      <b/>
      <sz val="8"/>
      <color indexed="10"/>
      <name val="Arial Narrow"/>
      <family val="2"/>
    </font>
    <font>
      <sz val="10"/>
      <color indexed="60"/>
      <name val="Arial"/>
      <family val="2"/>
    </font>
    <font>
      <i/>
      <sz val="9"/>
      <name val="Arial"/>
      <family val="2"/>
    </font>
    <font>
      <sz val="8"/>
      <name val="Univers"/>
      <family val="2"/>
    </font>
    <font>
      <sz val="10"/>
      <name val="Univers"/>
      <family val="2"/>
    </font>
    <font>
      <b/>
      <sz val="8"/>
      <name val="Univers"/>
      <family val="2"/>
    </font>
    <font>
      <sz val="8"/>
      <color indexed="9"/>
      <name val="Univers"/>
      <family val="2"/>
    </font>
    <font>
      <b/>
      <sz val="10"/>
      <name val="Univers"/>
      <family val="2"/>
    </font>
    <font>
      <i/>
      <sz val="9"/>
      <color indexed="9"/>
      <name val="Arial"/>
      <family val="2"/>
    </font>
    <font>
      <i/>
      <sz val="10"/>
      <color indexed="9"/>
      <name val="Arial"/>
      <family val="2"/>
    </font>
    <font>
      <b/>
      <sz val="8"/>
      <name val="Tahoma"/>
      <family val="2"/>
    </font>
    <font>
      <sz val="10"/>
      <color indexed="16"/>
      <name val="Arial"/>
      <family val="2"/>
    </font>
    <font>
      <b/>
      <i/>
      <sz val="12"/>
      <color indexed="9"/>
      <name val="Arial"/>
      <family val="2"/>
    </font>
    <font>
      <b/>
      <i/>
      <sz val="14"/>
      <color indexed="9"/>
      <name val="Arial"/>
      <family val="2"/>
    </font>
    <font>
      <i/>
      <sz val="8"/>
      <name val="Arial"/>
      <family val="2"/>
    </font>
    <font>
      <sz val="10"/>
      <color indexed="4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.85"/>
      <name val="Arial"/>
      <family val="2"/>
    </font>
    <font>
      <b/>
      <sz val="7.5"/>
      <name val="Arial"/>
      <family val="2"/>
    </font>
    <font>
      <sz val="10"/>
      <color indexed="45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14"/>
      <color indexed="60"/>
      <name val="Arial"/>
      <family val="2"/>
    </font>
    <font>
      <b/>
      <sz val="12"/>
      <color indexed="48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60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10"/>
      <color indexed="60"/>
      <name val="Arial"/>
      <family val="2"/>
    </font>
    <font>
      <sz val="10"/>
      <color indexed="18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sz val="8"/>
      <color indexed="46"/>
      <name val="Arial"/>
      <family val="2"/>
    </font>
    <font>
      <b/>
      <i/>
      <sz val="9"/>
      <name val="Arial"/>
      <family val="2"/>
    </font>
    <font>
      <sz val="6"/>
      <name val="Arial"/>
      <family val="2"/>
    </font>
    <font>
      <sz val="7"/>
      <color indexed="62"/>
      <name val="Arial"/>
      <family val="2"/>
    </font>
    <font>
      <sz val="8"/>
      <color indexed="62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sz val="8"/>
      <name val="Courier New"/>
      <family val="3"/>
    </font>
    <font>
      <sz val="10"/>
      <color indexed="58"/>
      <name val="Arial"/>
      <family val="2"/>
    </font>
    <font>
      <sz val="9"/>
      <color indexed="41"/>
      <name val="Arial"/>
      <family val="2"/>
    </font>
    <font>
      <u val="single"/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8"/>
      <color indexed="9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2"/>
        <bgColor indexed="64"/>
      </patternFill>
    </fill>
  </fills>
  <borders count="9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52"/>
      </bottom>
    </border>
    <border>
      <left>
        <color indexed="63"/>
      </left>
      <right style="thin"/>
      <top style="thin"/>
      <bottom style="thin">
        <color indexed="52"/>
      </bottom>
    </border>
    <border>
      <left style="thin"/>
      <right>
        <color indexed="63"/>
      </right>
      <top>
        <color indexed="63"/>
      </top>
      <bottom style="thin">
        <color indexed="52"/>
      </bottom>
    </border>
    <border>
      <left style="thin"/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thin"/>
      <top style="thin">
        <color indexed="52"/>
      </top>
      <bottom style="thin">
        <color indexed="52"/>
      </bottom>
    </border>
    <border>
      <left style="thin"/>
      <right style="thin"/>
      <top>
        <color indexed="63"/>
      </top>
      <bottom style="thin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thin"/>
      <top style="thin">
        <color indexed="52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hair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>
        <color indexed="52"/>
      </top>
      <bottom>
        <color indexed="63"/>
      </bottom>
    </border>
    <border>
      <left style="thin"/>
      <right style="thin"/>
      <top style="thin"/>
      <bottom style="thin">
        <color indexed="52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2" fillId="27" borderId="2" applyNumberFormat="0" applyAlignment="0" applyProtection="0"/>
    <xf numFmtId="0" fontId="93" fillId="0" borderId="3" applyNumberFormat="0" applyFill="0" applyAlignment="0" applyProtection="0"/>
    <xf numFmtId="0" fontId="9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95" fillId="28" borderId="0" applyNumberFormat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97" fillId="31" borderId="0" applyNumberFormat="0" applyBorder="0" applyAlignment="0" applyProtection="0"/>
    <xf numFmtId="0" fontId="21" fillId="0" borderId="0">
      <alignment/>
      <protection/>
    </xf>
    <xf numFmtId="0" fontId="98" fillId="0" borderId="0" applyNumberFormat="0" applyFill="0" applyBorder="0" applyAlignment="0" applyProtection="0"/>
    <xf numFmtId="0" fontId="99" fillId="0" borderId="5" applyNumberFormat="0" applyFill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7" fillId="32" borderId="9">
      <alignment horizontal="center" vertical="center" wrapText="1"/>
      <protection hidden="1"/>
    </xf>
    <xf numFmtId="0" fontId="104" fillId="33" borderId="10" applyNumberFormat="0" applyAlignment="0" applyProtection="0"/>
  </cellStyleXfs>
  <cellXfs count="676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0" borderId="0" xfId="0" applyNumberFormat="1" applyFill="1" applyBorder="1" applyAlignment="1">
      <alignment/>
    </xf>
    <xf numFmtId="172" fontId="0" fillId="0" borderId="11" xfId="0" applyNumberForma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/>
    </xf>
    <xf numFmtId="179" fontId="0" fillId="34" borderId="0" xfId="0" applyNumberFormat="1" applyFill="1" applyAlignment="1">
      <alignment/>
    </xf>
    <xf numFmtId="0" fontId="0" fillId="34" borderId="0" xfId="0" applyFill="1" applyAlignment="1">
      <alignment horizontal="left" vertical="top"/>
    </xf>
    <xf numFmtId="179" fontId="12" fillId="34" borderId="0" xfId="0" applyNumberFormat="1" applyFont="1" applyFill="1" applyAlignment="1">
      <alignment horizontal="right"/>
    </xf>
    <xf numFmtId="0" fontId="12" fillId="34" borderId="0" xfId="0" applyFont="1" applyFill="1" applyAlignment="1">
      <alignment horizontal="right"/>
    </xf>
    <xf numFmtId="0" fontId="0" fillId="35" borderId="0" xfId="0" applyFill="1" applyBorder="1" applyAlignment="1">
      <alignment horizontal="right"/>
    </xf>
    <xf numFmtId="0" fontId="1" fillId="36" borderId="9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180" fontId="0" fillId="0" borderId="11" xfId="0" applyNumberFormat="1" applyFill="1" applyBorder="1" applyAlignment="1" applyProtection="1">
      <alignment horizontal="center"/>
      <protection locked="0"/>
    </xf>
    <xf numFmtId="0" fontId="20" fillId="0" borderId="0" xfId="54" applyFont="1" applyFill="1" applyBorder="1" applyAlignment="1" applyProtection="1">
      <alignment horizontal="center"/>
      <protection/>
    </xf>
    <xf numFmtId="2" fontId="20" fillId="0" borderId="0" xfId="54" applyNumberFormat="1" applyFont="1" applyFill="1" applyBorder="1" applyAlignment="1" applyProtection="1">
      <alignment horizontal="center"/>
      <protection/>
    </xf>
    <xf numFmtId="2" fontId="22" fillId="0" borderId="0" xfId="54" applyNumberFormat="1" applyFont="1" applyFill="1" applyBorder="1" applyAlignment="1" applyProtection="1">
      <alignment horizontal="center"/>
      <protection/>
    </xf>
    <xf numFmtId="0" fontId="22" fillId="0" borderId="0" xfId="54" applyFont="1" applyFill="1" applyBorder="1" applyAlignment="1" applyProtection="1">
      <alignment horizontal="center"/>
      <protection/>
    </xf>
    <xf numFmtId="0" fontId="21" fillId="0" borderId="0" xfId="54" applyFont="1" applyFill="1" applyBorder="1" applyAlignment="1" applyProtection="1">
      <alignment horizontal="right"/>
      <protection/>
    </xf>
    <xf numFmtId="0" fontId="20" fillId="0" borderId="0" xfId="54" applyFont="1" applyFill="1" applyBorder="1" applyProtection="1">
      <alignment/>
      <protection locked="0"/>
    </xf>
    <xf numFmtId="0" fontId="20" fillId="0" borderId="0" xfId="54" applyFont="1" applyFill="1" applyBorder="1" applyAlignment="1" applyProtection="1">
      <alignment horizontal="center"/>
      <protection locked="0"/>
    </xf>
    <xf numFmtId="2" fontId="22" fillId="0" borderId="0" xfId="54" applyNumberFormat="1" applyFont="1" applyFill="1" applyBorder="1" applyAlignment="1" applyProtection="1">
      <alignment horizontal="center"/>
      <protection/>
    </xf>
    <xf numFmtId="0" fontId="20" fillId="0" borderId="0" xfId="54" applyFont="1" applyFill="1" applyBorder="1" applyProtection="1">
      <alignment/>
      <protection/>
    </xf>
    <xf numFmtId="0" fontId="20" fillId="0" borderId="0" xfId="54" applyFont="1" applyFill="1" applyBorder="1" applyAlignment="1" applyProtection="1">
      <alignment vertical="center"/>
      <protection/>
    </xf>
    <xf numFmtId="0" fontId="20" fillId="0" borderId="0" xfId="54" applyFont="1" applyFill="1" applyBorder="1" applyAlignment="1" applyProtection="1">
      <alignment horizontal="center" vertical="center"/>
      <protection/>
    </xf>
    <xf numFmtId="0" fontId="20" fillId="0" borderId="0" xfId="54" applyFont="1" applyFill="1" applyBorder="1" applyAlignment="1" applyProtection="1">
      <alignment horizontal="right" vertical="center"/>
      <protection/>
    </xf>
    <xf numFmtId="2" fontId="22" fillId="0" borderId="0" xfId="54" applyNumberFormat="1" applyFont="1" applyFill="1" applyBorder="1" applyAlignment="1" applyProtection="1">
      <alignment vertical="center"/>
      <protection/>
    </xf>
    <xf numFmtId="0" fontId="20" fillId="0" borderId="0" xfId="54" applyFont="1" applyFill="1" applyBorder="1" applyAlignment="1" applyProtection="1">
      <alignment horizontal="right"/>
      <protection/>
    </xf>
    <xf numFmtId="2" fontId="23" fillId="0" borderId="0" xfId="54" applyNumberFormat="1" applyFont="1" applyFill="1" applyBorder="1" applyProtection="1">
      <alignment/>
      <protection/>
    </xf>
    <xf numFmtId="0" fontId="20" fillId="0" borderId="0" xfId="54" applyFont="1" applyFill="1" applyBorder="1" applyAlignment="1" applyProtection="1">
      <alignment horizontal="right"/>
      <protection locked="0"/>
    </xf>
    <xf numFmtId="2" fontId="20" fillId="0" borderId="0" xfId="54" applyNumberFormat="1" applyFont="1" applyFill="1" applyBorder="1" applyAlignment="1" applyProtection="1">
      <alignment horizontal="right"/>
      <protection locked="0"/>
    </xf>
    <xf numFmtId="2" fontId="23" fillId="0" borderId="0" xfId="54" applyNumberFormat="1" applyFont="1" applyFill="1" applyBorder="1" applyAlignment="1" applyProtection="1">
      <alignment vertical="center"/>
      <protection/>
    </xf>
    <xf numFmtId="0" fontId="20" fillId="0" borderId="0" xfId="54" applyFont="1" applyFill="1" applyBorder="1" applyProtection="1">
      <alignment/>
      <protection/>
    </xf>
    <xf numFmtId="2" fontId="20" fillId="0" borderId="0" xfId="54" applyNumberFormat="1" applyFont="1" applyFill="1" applyBorder="1" applyProtection="1">
      <alignment/>
      <protection/>
    </xf>
    <xf numFmtId="2" fontId="20" fillId="0" borderId="0" xfId="54" applyNumberFormat="1" applyFont="1" applyFill="1" applyBorder="1" applyAlignment="1" applyProtection="1">
      <alignment vertical="center"/>
      <protection/>
    </xf>
    <xf numFmtId="0" fontId="20" fillId="0" borderId="0" xfId="54" applyFont="1" applyFill="1" applyBorder="1" applyAlignment="1" applyProtection="1">
      <alignment horizontal="left"/>
      <protection locked="0"/>
    </xf>
    <xf numFmtId="2" fontId="24" fillId="0" borderId="0" xfId="54" applyNumberFormat="1" applyFont="1" applyFill="1" applyBorder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2" fontId="22" fillId="0" borderId="0" xfId="54" applyNumberFormat="1" applyFont="1" applyFill="1" applyBorder="1" applyProtection="1">
      <alignment/>
      <protection/>
    </xf>
    <xf numFmtId="0" fontId="21" fillId="0" borderId="0" xfId="54" applyFill="1" applyBorder="1" applyProtection="1">
      <alignment/>
      <protection/>
    </xf>
    <xf numFmtId="0" fontId="21" fillId="0" borderId="0" xfId="54" applyFill="1" applyBorder="1" applyAlignment="1" applyProtection="1">
      <alignment horizontal="right"/>
      <protection/>
    </xf>
    <xf numFmtId="0" fontId="0" fillId="35" borderId="12" xfId="0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14" fillId="37" borderId="13" xfId="0" applyNumberFormat="1" applyFont="1" applyFill="1" applyBorder="1" applyAlignment="1" applyProtection="1">
      <alignment/>
      <protection hidden="1"/>
    </xf>
    <xf numFmtId="2" fontId="14" fillId="37" borderId="14" xfId="0" applyNumberFormat="1" applyFont="1" applyFill="1" applyBorder="1" applyAlignment="1" applyProtection="1">
      <alignment/>
      <protection hidden="1"/>
    </xf>
    <xf numFmtId="2" fontId="14" fillId="37" borderId="15" xfId="0" applyNumberFormat="1" applyFont="1" applyFill="1" applyBorder="1" applyAlignment="1" applyProtection="1">
      <alignment/>
      <protection hidden="1"/>
    </xf>
    <xf numFmtId="2" fontId="14" fillId="38" borderId="13" xfId="0" applyNumberFormat="1" applyFont="1" applyFill="1" applyBorder="1" applyAlignment="1" applyProtection="1">
      <alignment/>
      <protection hidden="1"/>
    </xf>
    <xf numFmtId="2" fontId="14" fillId="38" borderId="14" xfId="0" applyNumberFormat="1" applyFont="1" applyFill="1" applyBorder="1" applyAlignment="1" applyProtection="1">
      <alignment/>
      <protection hidden="1"/>
    </xf>
    <xf numFmtId="2" fontId="14" fillId="38" borderId="15" xfId="0" applyNumberFormat="1" applyFont="1" applyFill="1" applyBorder="1" applyAlignment="1" applyProtection="1">
      <alignment/>
      <protection hidden="1"/>
    </xf>
    <xf numFmtId="0" fontId="29" fillId="39" borderId="16" xfId="0" applyFont="1" applyFill="1" applyBorder="1" applyAlignment="1" applyProtection="1">
      <alignment vertical="center"/>
      <protection hidden="1"/>
    </xf>
    <xf numFmtId="0" fontId="26" fillId="39" borderId="17" xfId="0" applyFont="1" applyFill="1" applyBorder="1" applyAlignment="1" applyProtection="1">
      <alignment horizontal="center" vertical="center"/>
      <protection hidden="1"/>
    </xf>
    <xf numFmtId="0" fontId="29" fillId="39" borderId="17" xfId="0" applyFont="1" applyFill="1" applyBorder="1" applyAlignment="1" applyProtection="1">
      <alignment horizontal="left" vertical="center"/>
      <protection hidden="1"/>
    </xf>
    <xf numFmtId="0" fontId="30" fillId="39" borderId="18" xfId="0" applyFont="1" applyFill="1" applyBorder="1" applyAlignment="1" applyProtection="1">
      <alignment horizontal="center" vertical="center"/>
      <protection hidden="1"/>
    </xf>
    <xf numFmtId="0" fontId="14" fillId="40" borderId="19" xfId="0" applyFont="1" applyFill="1" applyBorder="1" applyAlignment="1" applyProtection="1">
      <alignment horizontal="center"/>
      <protection hidden="1"/>
    </xf>
    <xf numFmtId="0" fontId="1" fillId="40" borderId="20" xfId="0" applyFont="1" applyFill="1" applyBorder="1" applyAlignment="1" applyProtection="1">
      <alignment horizontal="center"/>
      <protection hidden="1"/>
    </xf>
    <xf numFmtId="0" fontId="1" fillId="40" borderId="21" xfId="0" applyFont="1" applyFill="1" applyBorder="1" applyAlignment="1" applyProtection="1">
      <alignment horizontal="center"/>
      <protection hidden="1"/>
    </xf>
    <xf numFmtId="0" fontId="1" fillId="40" borderId="22" xfId="0" applyFont="1" applyFill="1" applyBorder="1" applyAlignment="1" applyProtection="1">
      <alignment horizontal="center"/>
      <protection hidden="1"/>
    </xf>
    <xf numFmtId="0" fontId="28" fillId="0" borderId="23" xfId="0" applyFont="1" applyFill="1" applyBorder="1" applyAlignment="1" applyProtection="1">
      <alignment horizontal="right"/>
      <protection hidden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13" fillId="35" borderId="0" xfId="0" applyFont="1" applyFill="1" applyAlignment="1">
      <alignment/>
    </xf>
    <xf numFmtId="184" fontId="0" fillId="0" borderId="0" xfId="0" applyNumberFormat="1" applyFont="1" applyAlignment="1">
      <alignment/>
    </xf>
    <xf numFmtId="0" fontId="2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183" fontId="0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center" wrapText="1"/>
    </xf>
    <xf numFmtId="183" fontId="1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/>
    </xf>
    <xf numFmtId="0" fontId="0" fillId="35" borderId="0" xfId="0" applyFill="1" applyBorder="1" applyAlignment="1">
      <alignment horizontal="center"/>
    </xf>
    <xf numFmtId="21" fontId="1" fillId="35" borderId="0" xfId="0" applyNumberFormat="1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180" fontId="0" fillId="35" borderId="0" xfId="0" applyNumberFormat="1" applyFont="1" applyFill="1" applyBorder="1" applyAlignment="1">
      <alignment horizontal="center"/>
    </xf>
    <xf numFmtId="0" fontId="0" fillId="35" borderId="9" xfId="0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184" fontId="31" fillId="0" borderId="27" xfId="0" applyNumberFormat="1" applyFont="1" applyBorder="1" applyAlignment="1">
      <alignment/>
    </xf>
    <xf numFmtId="0" fontId="31" fillId="0" borderId="0" xfId="0" applyFont="1" applyBorder="1" applyAlignment="1">
      <alignment/>
    </xf>
    <xf numFmtId="184" fontId="31" fillId="0" borderId="28" xfId="0" applyNumberFormat="1" applyFont="1" applyBorder="1" applyAlignment="1">
      <alignment/>
    </xf>
    <xf numFmtId="184" fontId="31" fillId="0" borderId="29" xfId="0" applyNumberFormat="1" applyFont="1" applyBorder="1" applyAlignment="1">
      <alignment/>
    </xf>
    <xf numFmtId="0" fontId="31" fillId="0" borderId="12" xfId="0" applyFont="1" applyBorder="1" applyAlignment="1">
      <alignment/>
    </xf>
    <xf numFmtId="184" fontId="31" fillId="0" borderId="30" xfId="0" applyNumberFormat="1" applyFont="1" applyBorder="1" applyAlignment="1">
      <alignment/>
    </xf>
    <xf numFmtId="183" fontId="0" fillId="35" borderId="31" xfId="0" applyNumberFormat="1" applyFont="1" applyFill="1" applyBorder="1" applyAlignment="1">
      <alignment horizontal="left" vertical="top"/>
    </xf>
    <xf numFmtId="0" fontId="0" fillId="35" borderId="32" xfId="0" applyFont="1" applyFill="1" applyBorder="1" applyAlignment="1">
      <alignment vertical="center" wrapText="1"/>
    </xf>
    <xf numFmtId="183" fontId="0" fillId="35" borderId="33" xfId="0" applyNumberFormat="1" applyFont="1" applyFill="1" applyBorder="1" applyAlignment="1">
      <alignment horizontal="left" vertical="top"/>
    </xf>
    <xf numFmtId="0" fontId="0" fillId="35" borderId="34" xfId="0" applyFont="1" applyFill="1" applyBorder="1" applyAlignment="1">
      <alignment vertical="center" wrapText="1"/>
    </xf>
    <xf numFmtId="0" fontId="0" fillId="35" borderId="35" xfId="0" applyFont="1" applyFill="1" applyBorder="1" applyAlignment="1">
      <alignment vertical="center" wrapText="1"/>
    </xf>
    <xf numFmtId="0" fontId="31" fillId="35" borderId="32" xfId="0" applyFont="1" applyFill="1" applyBorder="1" applyAlignment="1">
      <alignment vertical="center" wrapText="1"/>
    </xf>
    <xf numFmtId="183" fontId="0" fillId="0" borderId="27" xfId="0" applyNumberFormat="1" applyFont="1" applyFill="1" applyBorder="1" applyAlignment="1">
      <alignment horizontal="left" vertical="top"/>
    </xf>
    <xf numFmtId="0" fontId="0" fillId="0" borderId="28" xfId="0" applyFont="1" applyFill="1" applyBorder="1" applyAlignment="1">
      <alignment horizontal="right"/>
    </xf>
    <xf numFmtId="180" fontId="13" fillId="35" borderId="0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Border="1" applyAlignment="1">
      <alignment horizontal="left"/>
    </xf>
    <xf numFmtId="180" fontId="9" fillId="35" borderId="0" xfId="0" applyNumberFormat="1" applyFont="1" applyFill="1" applyBorder="1" applyAlignment="1">
      <alignment horizontal="center"/>
    </xf>
    <xf numFmtId="0" fontId="15" fillId="41" borderId="0" xfId="0" applyFont="1" applyFill="1" applyAlignment="1">
      <alignment horizontal="center"/>
    </xf>
    <xf numFmtId="0" fontId="0" fillId="41" borderId="0" xfId="0" applyFill="1" applyAlignment="1">
      <alignment/>
    </xf>
    <xf numFmtId="0" fontId="0" fillId="41" borderId="0" xfId="0" applyFill="1" applyAlignment="1">
      <alignment/>
    </xf>
    <xf numFmtId="0" fontId="0" fillId="41" borderId="0" xfId="0" applyFill="1" applyBorder="1" applyAlignment="1">
      <alignment horizontal="right"/>
    </xf>
    <xf numFmtId="0" fontId="0" fillId="41" borderId="0" xfId="0" applyFill="1" applyAlignment="1">
      <alignment horizontal="left" vertical="top"/>
    </xf>
    <xf numFmtId="0" fontId="15" fillId="41" borderId="0" xfId="0" applyFont="1" applyFill="1" applyAlignment="1">
      <alignment/>
    </xf>
    <xf numFmtId="0" fontId="4" fillId="41" borderId="0" xfId="0" applyFont="1" applyFill="1" applyAlignment="1">
      <alignment horizontal="center"/>
    </xf>
    <xf numFmtId="0" fontId="12" fillId="41" borderId="0" xfId="0" applyFont="1" applyFill="1" applyAlignment="1">
      <alignment horizontal="left"/>
    </xf>
    <xf numFmtId="0" fontId="7" fillId="41" borderId="0" xfId="0" applyFont="1" applyFill="1" applyAlignment="1">
      <alignment/>
    </xf>
    <xf numFmtId="0" fontId="1" fillId="41" borderId="0" xfId="0" applyFont="1" applyFill="1" applyAlignment="1">
      <alignment horizontal="center" vertical="top"/>
    </xf>
    <xf numFmtId="0" fontId="15" fillId="41" borderId="0" xfId="0" applyFont="1" applyFill="1" applyAlignment="1" applyProtection="1">
      <alignment/>
      <protection/>
    </xf>
    <xf numFmtId="172" fontId="14" fillId="41" borderId="0" xfId="0" applyNumberFormat="1" applyFont="1" applyFill="1" applyBorder="1" applyAlignment="1" applyProtection="1">
      <alignment horizontal="center" vertical="center"/>
      <protection locked="0"/>
    </xf>
    <xf numFmtId="0" fontId="0" fillId="41" borderId="0" xfId="0" applyFill="1" applyAlignment="1">
      <alignment horizontal="right"/>
    </xf>
    <xf numFmtId="0" fontId="1" fillId="41" borderId="0" xfId="0" applyFont="1" applyFill="1" applyBorder="1" applyAlignment="1">
      <alignment horizontal="center" vertical="center"/>
    </xf>
    <xf numFmtId="0" fontId="0" fillId="41" borderId="0" xfId="0" applyFont="1" applyFill="1" applyBorder="1" applyAlignment="1">
      <alignment horizontal="right"/>
    </xf>
    <xf numFmtId="180" fontId="0" fillId="41" borderId="0" xfId="0" applyNumberFormat="1" applyFont="1" applyFill="1" applyBorder="1" applyAlignment="1" applyProtection="1">
      <alignment horizontal="center"/>
      <protection locked="0"/>
    </xf>
    <xf numFmtId="0" fontId="0" fillId="41" borderId="0" xfId="0" applyFill="1" applyBorder="1" applyAlignment="1">
      <alignment horizontal="left" vertical="top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 horizontal="left"/>
    </xf>
    <xf numFmtId="180" fontId="19" fillId="41" borderId="0" xfId="0" applyNumberFormat="1" applyFont="1" applyFill="1" applyBorder="1" applyAlignment="1" applyProtection="1">
      <alignment horizontal="center"/>
      <protection locked="0"/>
    </xf>
    <xf numFmtId="14" fontId="32" fillId="41" borderId="0" xfId="0" applyNumberFormat="1" applyFont="1" applyFill="1" applyBorder="1" applyAlignment="1">
      <alignment horizontal="center"/>
    </xf>
    <xf numFmtId="0" fontId="0" fillId="41" borderId="0" xfId="0" applyFont="1" applyFill="1" applyAlignment="1">
      <alignment horizontal="left" vertical="top"/>
    </xf>
    <xf numFmtId="14" fontId="15" fillId="41" borderId="0" xfId="0" applyNumberFormat="1" applyFont="1" applyFill="1" applyBorder="1" applyAlignment="1">
      <alignment horizontal="left"/>
    </xf>
    <xf numFmtId="0" fontId="32" fillId="41" borderId="0" xfId="0" applyFont="1" applyFill="1" applyBorder="1" applyAlignment="1">
      <alignment/>
    </xf>
    <xf numFmtId="0" fontId="0" fillId="41" borderId="0" xfId="0" applyFill="1" applyBorder="1" applyAlignment="1">
      <alignment horizontal="center"/>
    </xf>
    <xf numFmtId="179" fontId="0" fillId="41" borderId="0" xfId="0" applyNumberFormat="1" applyFill="1" applyAlignment="1">
      <alignment/>
    </xf>
    <xf numFmtId="0" fontId="3" fillId="41" borderId="0" xfId="49" applyFill="1" applyBorder="1" applyAlignment="1" applyProtection="1">
      <alignment horizontal="center"/>
      <protection/>
    </xf>
    <xf numFmtId="182" fontId="0" fillId="41" borderId="0" xfId="0" applyNumberFormat="1" applyFill="1" applyAlignment="1">
      <alignment horizontal="left"/>
    </xf>
    <xf numFmtId="0" fontId="0" fillId="41" borderId="0" xfId="0" applyFill="1" applyBorder="1" applyAlignment="1" applyProtection="1">
      <alignment/>
      <protection locked="0"/>
    </xf>
    <xf numFmtId="0" fontId="1" fillId="41" borderId="0" xfId="0" applyFont="1" applyFill="1" applyBorder="1" applyAlignment="1">
      <alignment/>
    </xf>
    <xf numFmtId="0" fontId="0" fillId="41" borderId="0" xfId="49" applyFont="1" applyFill="1" applyAlignment="1" applyProtection="1">
      <alignment horizontal="left" vertical="top"/>
      <protection/>
    </xf>
    <xf numFmtId="0" fontId="0" fillId="41" borderId="0" xfId="0" applyFont="1" applyFill="1" applyBorder="1" applyAlignment="1" applyProtection="1">
      <alignment horizontal="right"/>
      <protection locked="0"/>
    </xf>
    <xf numFmtId="0" fontId="0" fillId="41" borderId="0" xfId="0" applyFill="1" applyBorder="1" applyAlignment="1" applyProtection="1">
      <alignment horizontal="left"/>
      <protection locked="0"/>
    </xf>
    <xf numFmtId="185" fontId="32" fillId="41" borderId="0" xfId="0" applyNumberFormat="1" applyFont="1" applyFill="1" applyBorder="1" applyAlignment="1" applyProtection="1">
      <alignment horizontal="left"/>
      <protection/>
    </xf>
    <xf numFmtId="179" fontId="32" fillId="41" borderId="0" xfId="0" applyNumberFormat="1" applyFont="1" applyFill="1" applyBorder="1" applyAlignment="1" applyProtection="1">
      <alignment horizontal="right"/>
      <protection/>
    </xf>
    <xf numFmtId="0" fontId="0" fillId="41" borderId="0" xfId="0" applyFont="1" applyFill="1" applyBorder="1" applyAlignment="1">
      <alignment/>
    </xf>
    <xf numFmtId="184" fontId="0" fillId="41" borderId="0" xfId="0" applyNumberFormat="1" applyFill="1" applyBorder="1" applyAlignment="1">
      <alignment/>
    </xf>
    <xf numFmtId="182" fontId="0" fillId="41" borderId="0" xfId="0" applyNumberFormat="1" applyFont="1" applyFill="1" applyBorder="1" applyAlignment="1" applyProtection="1">
      <alignment horizontal="left"/>
      <protection locked="0"/>
    </xf>
    <xf numFmtId="182" fontId="0" fillId="41" borderId="0" xfId="0" applyNumberFormat="1" applyFont="1" applyFill="1" applyBorder="1" applyAlignment="1" applyProtection="1">
      <alignment horizontal="left" vertical="top"/>
      <protection locked="0"/>
    </xf>
    <xf numFmtId="0" fontId="0" fillId="41" borderId="0" xfId="0" applyFill="1" applyBorder="1" applyAlignment="1" applyProtection="1">
      <alignment horizontal="left" vertical="top"/>
      <protection locked="0"/>
    </xf>
    <xf numFmtId="0" fontId="0" fillId="41" borderId="0" xfId="0" applyFill="1" applyBorder="1" applyAlignment="1" applyProtection="1">
      <alignment horizontal="right"/>
      <protection locked="0"/>
    </xf>
    <xf numFmtId="0" fontId="0" fillId="41" borderId="0" xfId="0" applyFill="1" applyBorder="1" applyAlignment="1">
      <alignment/>
    </xf>
    <xf numFmtId="179" fontId="0" fillId="41" borderId="0" xfId="0" applyNumberFormat="1" applyFill="1" applyAlignment="1">
      <alignment horizontal="right"/>
    </xf>
    <xf numFmtId="0" fontId="1" fillId="41" borderId="0" xfId="0" applyFont="1" applyFill="1" applyAlignment="1">
      <alignment/>
    </xf>
    <xf numFmtId="0" fontId="0" fillId="41" borderId="0" xfId="0" applyNumberFormat="1" applyFill="1" applyAlignment="1">
      <alignment/>
    </xf>
    <xf numFmtId="176" fontId="13" fillId="41" borderId="0" xfId="0" applyNumberFormat="1" applyFont="1" applyFill="1" applyAlignment="1">
      <alignment/>
    </xf>
    <xf numFmtId="179" fontId="12" fillId="41" borderId="0" xfId="0" applyNumberFormat="1" applyFont="1" applyFill="1" applyAlignment="1">
      <alignment horizontal="right"/>
    </xf>
    <xf numFmtId="0" fontId="13" fillId="41" borderId="0" xfId="0" applyFont="1" applyFill="1" applyAlignment="1">
      <alignment/>
    </xf>
    <xf numFmtId="0" fontId="12" fillId="41" borderId="0" xfId="0" applyFont="1" applyFill="1" applyAlignment="1">
      <alignment horizontal="right"/>
    </xf>
    <xf numFmtId="0" fontId="13" fillId="35" borderId="0" xfId="0" applyFont="1" applyFill="1" applyAlignment="1">
      <alignment/>
    </xf>
    <xf numFmtId="183" fontId="0" fillId="42" borderId="31" xfId="0" applyNumberFormat="1" applyFont="1" applyFill="1" applyBorder="1" applyAlignment="1">
      <alignment horizontal="left" vertical="top"/>
    </xf>
    <xf numFmtId="183" fontId="31" fillId="42" borderId="0" xfId="0" applyNumberFormat="1" applyFont="1" applyFill="1" applyBorder="1" applyAlignment="1">
      <alignment horizontal="left" vertical="top"/>
    </xf>
    <xf numFmtId="0" fontId="31" fillId="42" borderId="32" xfId="0" applyFont="1" applyFill="1" applyBorder="1" applyAlignment="1">
      <alignment vertical="center" wrapText="1"/>
    </xf>
    <xf numFmtId="183" fontId="0" fillId="42" borderId="33" xfId="0" applyNumberFormat="1" applyFont="1" applyFill="1" applyBorder="1" applyAlignment="1">
      <alignment horizontal="left" vertical="top"/>
    </xf>
    <xf numFmtId="0" fontId="31" fillId="35" borderId="32" xfId="0" applyFont="1" applyFill="1" applyBorder="1" applyAlignment="1">
      <alignment horizontal="center" vertical="center" wrapText="1"/>
    </xf>
    <xf numFmtId="0" fontId="31" fillId="35" borderId="34" xfId="0" applyFont="1" applyFill="1" applyBorder="1" applyAlignment="1">
      <alignment horizontal="center" vertical="center" wrapText="1"/>
    </xf>
    <xf numFmtId="0" fontId="31" fillId="42" borderId="34" xfId="0" applyFont="1" applyFill="1" applyBorder="1" applyAlignment="1">
      <alignment vertical="center" wrapText="1"/>
    </xf>
    <xf numFmtId="183" fontId="0" fillId="35" borderId="36" xfId="0" applyNumberFormat="1" applyFont="1" applyFill="1" applyBorder="1" applyAlignment="1">
      <alignment horizontal="left" vertical="top"/>
    </xf>
    <xf numFmtId="183" fontId="0" fillId="42" borderId="37" xfId="0" applyNumberFormat="1" applyFont="1" applyFill="1" applyBorder="1" applyAlignment="1">
      <alignment horizontal="left" vertical="top"/>
    </xf>
    <xf numFmtId="0" fontId="31" fillId="42" borderId="38" xfId="0" applyFont="1" applyFill="1" applyBorder="1" applyAlignment="1">
      <alignment vertical="center" wrapText="1"/>
    </xf>
    <xf numFmtId="0" fontId="0" fillId="35" borderId="3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/>
    </xf>
    <xf numFmtId="0" fontId="31" fillId="35" borderId="39" xfId="0" applyFont="1" applyFill="1" applyBorder="1" applyAlignment="1">
      <alignment horizontal="center" vertical="center" wrapText="1"/>
    </xf>
    <xf numFmtId="183" fontId="31" fillId="35" borderId="32" xfId="0" applyNumberFormat="1" applyFont="1" applyFill="1" applyBorder="1" applyAlignment="1">
      <alignment horizontal="center" vertical="top"/>
    </xf>
    <xf numFmtId="183" fontId="31" fillId="35" borderId="35" xfId="0" applyNumberFormat="1" applyFont="1" applyFill="1" applyBorder="1" applyAlignment="1">
      <alignment horizontal="center" vertical="top"/>
    </xf>
    <xf numFmtId="0" fontId="31" fillId="42" borderId="4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5" fillId="35" borderId="41" xfId="0" applyFont="1" applyFill="1" applyBorder="1" applyAlignment="1">
      <alignment vertical="top" wrapText="1"/>
    </xf>
    <xf numFmtId="0" fontId="35" fillId="35" borderId="41" xfId="0" applyFont="1" applyFill="1" applyBorder="1" applyAlignment="1">
      <alignment horizontal="right" vertical="top"/>
    </xf>
    <xf numFmtId="0" fontId="36" fillId="0" borderId="41" xfId="0" applyFont="1" applyBorder="1" applyAlignment="1">
      <alignment horizontal="left" vertical="top" wrapText="1"/>
    </xf>
    <xf numFmtId="0" fontId="36" fillId="0" borderId="41" xfId="0" applyFont="1" applyBorder="1" applyAlignment="1">
      <alignment horizontal="right" vertical="top" wrapText="1"/>
    </xf>
    <xf numFmtId="186" fontId="0" fillId="0" borderId="11" xfId="0" applyNumberFormat="1" applyFill="1" applyBorder="1" applyAlignment="1" applyProtection="1">
      <alignment horizontal="center"/>
      <protection locked="0"/>
    </xf>
    <xf numFmtId="0" fontId="0" fillId="35" borderId="38" xfId="0" applyFill="1" applyBorder="1" applyAlignment="1">
      <alignment horizontal="right"/>
    </xf>
    <xf numFmtId="0" fontId="33" fillId="35" borderId="42" xfId="0" applyFont="1" applyFill="1" applyBorder="1" applyAlignment="1">
      <alignment horizontal="center" vertical="center" wrapText="1"/>
    </xf>
    <xf numFmtId="0" fontId="39" fillId="35" borderId="37" xfId="0" applyFont="1" applyFill="1" applyBorder="1" applyAlignment="1">
      <alignment horizontal="center" vertical="center" wrapText="1"/>
    </xf>
    <xf numFmtId="21" fontId="33" fillId="35" borderId="9" xfId="0" applyNumberFormat="1" applyFont="1" applyFill="1" applyBorder="1" applyAlignment="1">
      <alignment horizontal="center" vertical="center" wrapText="1"/>
    </xf>
    <xf numFmtId="0" fontId="31" fillId="35" borderId="34" xfId="0" applyFont="1" applyFill="1" applyBorder="1" applyAlignment="1">
      <alignment vertical="center" wrapText="1"/>
    </xf>
    <xf numFmtId="183" fontId="31" fillId="35" borderId="34" xfId="0" applyNumberFormat="1" applyFont="1" applyFill="1" applyBorder="1" applyAlignment="1">
      <alignment horizontal="center" vertical="top"/>
    </xf>
    <xf numFmtId="1" fontId="0" fillId="35" borderId="0" xfId="0" applyNumberFormat="1" applyFont="1" applyFill="1" applyBorder="1" applyAlignment="1" applyProtection="1">
      <alignment horizontal="center"/>
      <protection/>
    </xf>
    <xf numFmtId="180" fontId="34" fillId="35" borderId="0" xfId="0" applyNumberFormat="1" applyFont="1" applyFill="1" applyBorder="1" applyAlignment="1">
      <alignment/>
    </xf>
    <xf numFmtId="179" fontId="34" fillId="41" borderId="0" xfId="0" applyNumberFormat="1" applyFont="1" applyFill="1" applyAlignment="1" applyProtection="1">
      <alignment horizontal="right"/>
      <protection/>
    </xf>
    <xf numFmtId="179" fontId="34" fillId="41" borderId="0" xfId="0" applyNumberFormat="1" applyFont="1" applyFill="1" applyAlignment="1">
      <alignment horizontal="right"/>
    </xf>
    <xf numFmtId="0" fontId="34" fillId="41" borderId="0" xfId="0" applyFont="1" applyFill="1" applyBorder="1" applyAlignment="1">
      <alignment/>
    </xf>
    <xf numFmtId="0" fontId="34" fillId="41" borderId="0" xfId="0" applyFont="1" applyFill="1" applyAlignment="1" applyProtection="1">
      <alignment horizontal="right"/>
      <protection/>
    </xf>
    <xf numFmtId="173" fontId="10" fillId="35" borderId="0" xfId="0" applyNumberFormat="1" applyFont="1" applyFill="1" applyBorder="1" applyAlignment="1" applyProtection="1">
      <alignment horizontal="center"/>
      <protection/>
    </xf>
    <xf numFmtId="0" fontId="28" fillId="0" borderId="43" xfId="0" applyFont="1" applyFill="1" applyBorder="1" applyAlignment="1" applyProtection="1">
      <alignment horizontal="right"/>
      <protection hidden="1"/>
    </xf>
    <xf numFmtId="18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5" borderId="0" xfId="0" applyFill="1" applyBorder="1" applyAlignment="1" applyProtection="1">
      <alignment horizontal="right"/>
      <protection locked="0"/>
    </xf>
    <xf numFmtId="0" fontId="10" fillId="35" borderId="0" xfId="0" applyFont="1" applyFill="1" applyBorder="1" applyAlignment="1">
      <alignment horizontal="right"/>
    </xf>
    <xf numFmtId="173" fontId="43" fillId="42" borderId="44" xfId="0" applyNumberFormat="1" applyFont="1" applyFill="1" applyBorder="1" applyAlignment="1" applyProtection="1">
      <alignment horizontal="center"/>
      <protection/>
    </xf>
    <xf numFmtId="175" fontId="43" fillId="42" borderId="45" xfId="0" applyNumberFormat="1" applyFont="1" applyFill="1" applyBorder="1" applyAlignment="1">
      <alignment horizontal="left"/>
    </xf>
    <xf numFmtId="0" fontId="44" fillId="0" borderId="46" xfId="0" applyFont="1" applyFill="1" applyBorder="1" applyAlignment="1" quotePrefix="1">
      <alignment horizontal="center"/>
    </xf>
    <xf numFmtId="0" fontId="10" fillId="35" borderId="9" xfId="0" applyFont="1" applyFill="1" applyBorder="1" applyAlignment="1">
      <alignment/>
    </xf>
    <xf numFmtId="173" fontId="10" fillId="35" borderId="47" xfId="0" applyNumberFormat="1" applyFont="1" applyFill="1" applyBorder="1" applyAlignment="1" applyProtection="1">
      <alignment horizontal="center"/>
      <protection/>
    </xf>
    <xf numFmtId="175" fontId="10" fillId="35" borderId="48" xfId="0" applyNumberFormat="1" applyFont="1" applyFill="1" applyBorder="1" applyAlignment="1">
      <alignment horizontal="left"/>
    </xf>
    <xf numFmtId="180" fontId="10" fillId="0" borderId="48" xfId="0" applyNumberFormat="1" applyFont="1" applyFill="1" applyBorder="1" applyAlignment="1">
      <alignment horizontal="center"/>
    </xf>
    <xf numFmtId="0" fontId="45" fillId="0" borderId="11" xfId="0" applyFont="1" applyFill="1" applyBorder="1" applyAlignment="1" quotePrefix="1">
      <alignment horizontal="center"/>
    </xf>
    <xf numFmtId="0" fontId="10" fillId="0" borderId="48" xfId="0" applyFont="1" applyFill="1" applyBorder="1" applyAlignment="1">
      <alignment horizontal="center"/>
    </xf>
    <xf numFmtId="0" fontId="10" fillId="0" borderId="49" xfId="0" applyFont="1" applyFill="1" applyBorder="1" applyAlignment="1" quotePrefix="1">
      <alignment horizontal="center"/>
    </xf>
    <xf numFmtId="0" fontId="10" fillId="35" borderId="50" xfId="0" applyFont="1" applyFill="1" applyBorder="1" applyAlignment="1">
      <alignment horizontal="right"/>
    </xf>
    <xf numFmtId="0" fontId="38" fillId="35" borderId="9" xfId="0" applyFont="1" applyFill="1" applyBorder="1" applyAlignment="1">
      <alignment horizontal="right"/>
    </xf>
    <xf numFmtId="0" fontId="10" fillId="35" borderId="9" xfId="0" applyFont="1" applyFill="1" applyBorder="1" applyAlignment="1">
      <alignment horizontal="right"/>
    </xf>
    <xf numFmtId="0" fontId="10" fillId="35" borderId="0" xfId="0" applyFont="1" applyFill="1" applyAlignment="1">
      <alignment/>
    </xf>
    <xf numFmtId="0" fontId="10" fillId="35" borderId="0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35" borderId="0" xfId="0" applyFont="1" applyFill="1" applyBorder="1" applyAlignment="1">
      <alignment/>
    </xf>
    <xf numFmtId="0" fontId="10" fillId="35" borderId="38" xfId="0" applyFont="1" applyFill="1" applyBorder="1" applyAlignment="1">
      <alignment horizontal="right"/>
    </xf>
    <xf numFmtId="21" fontId="33" fillId="35" borderId="0" xfId="0" applyNumberFormat="1" applyFont="1" applyFill="1" applyBorder="1" applyAlignment="1">
      <alignment horizontal="center" vertical="center" wrapText="1"/>
    </xf>
    <xf numFmtId="175" fontId="10" fillId="0" borderId="48" xfId="0" applyNumberFormat="1" applyFont="1" applyFill="1" applyBorder="1" applyAlignment="1">
      <alignment horizontal="left"/>
    </xf>
    <xf numFmtId="173" fontId="10" fillId="35" borderId="44" xfId="0" applyNumberFormat="1" applyFont="1" applyFill="1" applyBorder="1" applyAlignment="1" applyProtection="1">
      <alignment horizontal="center"/>
      <protection/>
    </xf>
    <xf numFmtId="173" fontId="10" fillId="35" borderId="48" xfId="0" applyNumberFormat="1" applyFont="1" applyFill="1" applyBorder="1" applyAlignment="1" applyProtection="1">
      <alignment horizontal="center"/>
      <protection/>
    </xf>
    <xf numFmtId="0" fontId="46" fillId="41" borderId="0" xfId="0" applyFont="1" applyFill="1" applyAlignment="1">
      <alignment horizontal="left"/>
    </xf>
    <xf numFmtId="0" fontId="46" fillId="41" borderId="0" xfId="0" applyFont="1" applyFill="1" applyBorder="1" applyAlignment="1">
      <alignment horizontal="right"/>
    </xf>
    <xf numFmtId="173" fontId="10" fillId="42" borderId="44" xfId="0" applyNumberFormat="1" applyFont="1" applyFill="1" applyBorder="1" applyAlignment="1" applyProtection="1">
      <alignment horizontal="center"/>
      <protection/>
    </xf>
    <xf numFmtId="175" fontId="10" fillId="42" borderId="48" xfId="0" applyNumberFormat="1" applyFont="1" applyFill="1" applyBorder="1" applyAlignment="1">
      <alignment horizontal="left"/>
    </xf>
    <xf numFmtId="180" fontId="10" fillId="42" borderId="48" xfId="0" applyNumberFormat="1" applyFont="1" applyFill="1" applyBorder="1" applyAlignment="1">
      <alignment horizontal="center"/>
    </xf>
    <xf numFmtId="180" fontId="10" fillId="35" borderId="0" xfId="0" applyNumberFormat="1" applyFont="1" applyFill="1" applyBorder="1" applyAlignment="1">
      <alignment/>
    </xf>
    <xf numFmtId="173" fontId="10" fillId="0" borderId="47" xfId="0" applyNumberFormat="1" applyFont="1" applyBorder="1" applyAlignment="1" applyProtection="1">
      <alignment horizontal="center"/>
      <protection/>
    </xf>
    <xf numFmtId="175" fontId="10" fillId="35" borderId="48" xfId="0" applyNumberFormat="1" applyFont="1" applyFill="1" applyBorder="1" applyAlignment="1" applyProtection="1">
      <alignment horizontal="left"/>
      <protection/>
    </xf>
    <xf numFmtId="180" fontId="10" fillId="35" borderId="48" xfId="0" applyNumberFormat="1" applyFont="1" applyFill="1" applyBorder="1" applyAlignment="1" applyProtection="1">
      <alignment horizontal="center"/>
      <protection/>
    </xf>
    <xf numFmtId="173" fontId="10" fillId="42" borderId="47" xfId="0" applyNumberFormat="1" applyFont="1" applyFill="1" applyBorder="1" applyAlignment="1" applyProtection="1">
      <alignment horizontal="center"/>
      <protection/>
    </xf>
    <xf numFmtId="180" fontId="10" fillId="35" borderId="48" xfId="0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41" borderId="0" xfId="0" applyFont="1" applyFill="1" applyAlignment="1">
      <alignment horizontal="center"/>
    </xf>
    <xf numFmtId="0" fontId="0" fillId="0" borderId="51" xfId="0" applyNumberFormat="1" applyBorder="1" applyAlignment="1">
      <alignment/>
    </xf>
    <xf numFmtId="174" fontId="6" fillId="0" borderId="51" xfId="0" applyNumberFormat="1" applyFont="1" applyBorder="1" applyAlignment="1">
      <alignment/>
    </xf>
    <xf numFmtId="186" fontId="0" fillId="41" borderId="42" xfId="0" applyNumberFormat="1" applyFill="1" applyBorder="1" applyAlignment="1">
      <alignment/>
    </xf>
    <xf numFmtId="186" fontId="0" fillId="41" borderId="9" xfId="0" applyNumberFormat="1" applyFont="1" applyFill="1" applyBorder="1" applyAlignment="1">
      <alignment/>
    </xf>
    <xf numFmtId="0" fontId="0" fillId="41" borderId="0" xfId="0" applyNumberFormat="1" applyFill="1" applyBorder="1" applyAlignment="1">
      <alignment/>
    </xf>
    <xf numFmtId="0" fontId="0" fillId="43" borderId="30" xfId="0" applyFill="1" applyBorder="1" applyAlignment="1">
      <alignment horizontal="center"/>
    </xf>
    <xf numFmtId="0" fontId="0" fillId="43" borderId="9" xfId="0" applyFill="1" applyBorder="1" applyAlignment="1">
      <alignment horizontal="center"/>
    </xf>
    <xf numFmtId="0" fontId="0" fillId="43" borderId="51" xfId="0" applyFill="1" applyBorder="1" applyAlignment="1">
      <alignment horizontal="center"/>
    </xf>
    <xf numFmtId="2" fontId="0" fillId="0" borderId="51" xfId="0" applyNumberFormat="1" applyFill="1" applyBorder="1" applyAlignment="1">
      <alignment/>
    </xf>
    <xf numFmtId="0" fontId="49" fillId="0" borderId="23" xfId="0" applyFont="1" applyFill="1" applyBorder="1" applyAlignment="1" applyProtection="1">
      <alignment horizontal="right"/>
      <protection hidden="1"/>
    </xf>
    <xf numFmtId="0" fontId="50" fillId="0" borderId="52" xfId="0" applyFont="1" applyFill="1" applyBorder="1" applyAlignment="1" applyProtection="1">
      <alignment horizontal="right"/>
      <protection hidden="1"/>
    </xf>
    <xf numFmtId="0" fontId="1" fillId="41" borderId="0" xfId="0" applyFont="1" applyFill="1" applyAlignment="1">
      <alignment/>
    </xf>
    <xf numFmtId="180" fontId="0" fillId="0" borderId="53" xfId="0" applyNumberFormat="1" applyFill="1" applyBorder="1" applyAlignment="1" applyProtection="1">
      <alignment horizontal="center"/>
      <protection locked="0"/>
    </xf>
    <xf numFmtId="0" fontId="0" fillId="35" borderId="50" xfId="0" applyFill="1" applyBorder="1" applyAlignment="1">
      <alignment horizontal="right"/>
    </xf>
    <xf numFmtId="0" fontId="6" fillId="0" borderId="23" xfId="0" applyFont="1" applyFill="1" applyBorder="1" applyAlignment="1" applyProtection="1">
      <alignment horizontal="right"/>
      <protection hidden="1"/>
    </xf>
    <xf numFmtId="0" fontId="51" fillId="0" borderId="54" xfId="0" applyFont="1" applyFill="1" applyBorder="1" applyAlignment="1" applyProtection="1">
      <alignment horizontal="right"/>
      <protection hidden="1"/>
    </xf>
    <xf numFmtId="0" fontId="51" fillId="0" borderId="55" xfId="0" applyFont="1" applyFill="1" applyBorder="1" applyAlignment="1" applyProtection="1">
      <alignment horizontal="right"/>
      <protection hidden="1"/>
    </xf>
    <xf numFmtId="0" fontId="11" fillId="0" borderId="23" xfId="0" applyFont="1" applyFill="1" applyBorder="1" applyAlignment="1" applyProtection="1">
      <alignment horizontal="right"/>
      <protection hidden="1"/>
    </xf>
    <xf numFmtId="0" fontId="9" fillId="0" borderId="23" xfId="0" applyFont="1" applyFill="1" applyBorder="1" applyAlignment="1" applyProtection="1">
      <alignment horizontal="right"/>
      <protection hidden="1"/>
    </xf>
    <xf numFmtId="0" fontId="14" fillId="38" borderId="23" xfId="0" applyFont="1" applyFill="1" applyBorder="1" applyAlignment="1" applyProtection="1">
      <alignment horizontal="right"/>
      <protection hidden="1"/>
    </xf>
    <xf numFmtId="0" fontId="14" fillId="37" borderId="23" xfId="0" applyFont="1" applyFill="1" applyBorder="1" applyAlignment="1" applyProtection="1">
      <alignment horizontal="right"/>
      <protection hidden="1"/>
    </xf>
    <xf numFmtId="0" fontId="1" fillId="40" borderId="56" xfId="0" applyFont="1" applyFill="1" applyBorder="1" applyAlignment="1" applyProtection="1">
      <alignment horizontal="center"/>
      <protection hidden="1"/>
    </xf>
    <xf numFmtId="0" fontId="1" fillId="40" borderId="57" xfId="0" applyFont="1" applyFill="1" applyBorder="1" applyAlignment="1" applyProtection="1">
      <alignment horizontal="center"/>
      <protection hidden="1"/>
    </xf>
    <xf numFmtId="0" fontId="1" fillId="40" borderId="58" xfId="0" applyFont="1" applyFill="1" applyBorder="1" applyAlignment="1" applyProtection="1">
      <alignment horizontal="center"/>
      <protection hidden="1"/>
    </xf>
    <xf numFmtId="0" fontId="1" fillId="40" borderId="59" xfId="0" applyFont="1" applyFill="1" applyBorder="1" applyAlignment="1" applyProtection="1">
      <alignment horizontal="center"/>
      <protection hidden="1"/>
    </xf>
    <xf numFmtId="0" fontId="0" fillId="0" borderId="60" xfId="0" applyFill="1" applyBorder="1" applyAlignment="1" applyProtection="1">
      <alignment horizontal="right"/>
      <protection hidden="1"/>
    </xf>
    <xf numFmtId="0" fontId="0" fillId="0" borderId="60" xfId="0" applyFont="1" applyFill="1" applyBorder="1" applyAlignment="1" applyProtection="1">
      <alignment horizontal="right"/>
      <protection hidden="1"/>
    </xf>
    <xf numFmtId="0" fontId="52" fillId="0" borderId="54" xfId="0" applyFont="1" applyFill="1" applyBorder="1" applyAlignment="1" applyProtection="1">
      <alignment horizontal="right"/>
      <protection hidden="1"/>
    </xf>
    <xf numFmtId="0" fontId="52" fillId="0" borderId="54" xfId="54" applyFont="1" applyFill="1" applyBorder="1" applyAlignment="1" applyProtection="1">
      <alignment horizontal="right"/>
      <protection locked="0"/>
    </xf>
    <xf numFmtId="1" fontId="0" fillId="0" borderId="61" xfId="0" applyNumberFormat="1" applyFont="1" applyFill="1" applyBorder="1" applyAlignment="1" applyProtection="1">
      <alignment/>
      <protection hidden="1"/>
    </xf>
    <xf numFmtId="1" fontId="52" fillId="0" borderId="62" xfId="0" applyNumberFormat="1" applyFont="1" applyFill="1" applyBorder="1" applyAlignment="1" applyProtection="1">
      <alignment/>
      <protection hidden="1"/>
    </xf>
    <xf numFmtId="1" fontId="52" fillId="0" borderId="63" xfId="0" applyNumberFormat="1" applyFont="1" applyFill="1" applyBorder="1" applyAlignment="1" applyProtection="1">
      <alignment/>
      <protection hidden="1"/>
    </xf>
    <xf numFmtId="0" fontId="0" fillId="0" borderId="64" xfId="0" applyFont="1" applyFill="1" applyBorder="1" applyAlignment="1" applyProtection="1">
      <alignment horizontal="right"/>
      <protection hidden="1"/>
    </xf>
    <xf numFmtId="1" fontId="0" fillId="0" borderId="65" xfId="0" applyNumberFormat="1" applyFont="1" applyFill="1" applyBorder="1" applyAlignment="1" applyProtection="1">
      <alignment/>
      <protection hidden="1"/>
    </xf>
    <xf numFmtId="1" fontId="0" fillId="0" borderId="66" xfId="0" applyNumberFormat="1" applyFont="1" applyFill="1" applyBorder="1" applyAlignment="1" applyProtection="1">
      <alignment/>
      <protection hidden="1"/>
    </xf>
    <xf numFmtId="0" fontId="10" fillId="0" borderId="49" xfId="0" applyNumberFormat="1" applyFont="1" applyFill="1" applyBorder="1" applyAlignment="1" quotePrefix="1">
      <alignment horizontal="center"/>
    </xf>
    <xf numFmtId="190" fontId="45" fillId="42" borderId="11" xfId="0" applyNumberFormat="1" applyFont="1" applyFill="1" applyBorder="1" applyAlignment="1" quotePrefix="1">
      <alignment horizontal="center"/>
    </xf>
    <xf numFmtId="190" fontId="45" fillId="0" borderId="11" xfId="0" applyNumberFormat="1" applyFont="1" applyFill="1" applyBorder="1" applyAlignment="1" quotePrefix="1">
      <alignment horizontal="center"/>
    </xf>
    <xf numFmtId="190" fontId="10" fillId="0" borderId="49" xfId="0" applyNumberFormat="1" applyFont="1" applyFill="1" applyBorder="1" applyAlignment="1" quotePrefix="1">
      <alignment horizontal="center"/>
    </xf>
    <xf numFmtId="190" fontId="10" fillId="35" borderId="42" xfId="0" applyNumberFormat="1" applyFont="1" applyFill="1" applyBorder="1" applyAlignment="1">
      <alignment horizontal="center"/>
    </xf>
    <xf numFmtId="190" fontId="44" fillId="0" borderId="46" xfId="0" applyNumberFormat="1" applyFont="1" applyFill="1" applyBorder="1" applyAlignment="1" quotePrefix="1">
      <alignment horizontal="center"/>
    </xf>
    <xf numFmtId="190" fontId="44" fillId="36" borderId="46" xfId="0" applyNumberFormat="1" applyFont="1" applyFill="1" applyBorder="1" applyAlignment="1" quotePrefix="1">
      <alignment horizontal="center"/>
    </xf>
    <xf numFmtId="190" fontId="10" fillId="42" borderId="49" xfId="0" applyNumberFormat="1" applyFont="1" applyFill="1" applyBorder="1" applyAlignment="1" quotePrefix="1">
      <alignment horizontal="center"/>
    </xf>
    <xf numFmtId="190" fontId="10" fillId="44" borderId="9" xfId="0" applyNumberFormat="1" applyFont="1" applyFill="1" applyBorder="1" applyAlignment="1">
      <alignment horizontal="center"/>
    </xf>
    <xf numFmtId="190" fontId="10" fillId="35" borderId="67" xfId="0" applyNumberFormat="1" applyFont="1" applyFill="1" applyBorder="1" applyAlignment="1" applyProtection="1">
      <alignment horizontal="center"/>
      <protection/>
    </xf>
    <xf numFmtId="190" fontId="43" fillId="42" borderId="11" xfId="0" applyNumberFormat="1" applyFont="1" applyFill="1" applyBorder="1" applyAlignment="1" applyProtection="1">
      <alignment horizontal="center"/>
      <protection locked="0"/>
    </xf>
    <xf numFmtId="190" fontId="43" fillId="42" borderId="49" xfId="0" applyNumberFormat="1" applyFont="1" applyFill="1" applyBorder="1" applyAlignment="1" quotePrefix="1">
      <alignment horizontal="center"/>
    </xf>
    <xf numFmtId="190" fontId="10" fillId="0" borderId="48" xfId="0" applyNumberFormat="1" applyFont="1" applyFill="1" applyBorder="1" applyAlignment="1">
      <alignment horizontal="center"/>
    </xf>
    <xf numFmtId="190" fontId="10" fillId="35" borderId="48" xfId="0" applyNumberFormat="1" applyFont="1" applyFill="1" applyBorder="1" applyAlignment="1">
      <alignment horizontal="center"/>
    </xf>
    <xf numFmtId="190" fontId="10" fillId="35" borderId="48" xfId="0" applyNumberFormat="1" applyFont="1" applyFill="1" applyBorder="1" applyAlignment="1">
      <alignment horizontal="left"/>
    </xf>
    <xf numFmtId="190" fontId="10" fillId="35" borderId="0" xfId="0" applyNumberFormat="1" applyFont="1" applyFill="1" applyBorder="1" applyAlignment="1">
      <alignment/>
    </xf>
    <xf numFmtId="190" fontId="10" fillId="42" borderId="9" xfId="0" applyNumberFormat="1" applyFont="1" applyFill="1" applyBorder="1" applyAlignment="1">
      <alignment horizontal="center"/>
    </xf>
    <xf numFmtId="190" fontId="10" fillId="41" borderId="9" xfId="0" applyNumberFormat="1" applyFont="1" applyFill="1" applyBorder="1" applyAlignment="1">
      <alignment horizontal="center"/>
    </xf>
    <xf numFmtId="190" fontId="10" fillId="34" borderId="9" xfId="0" applyNumberFormat="1" applyFont="1" applyFill="1" applyBorder="1" applyAlignment="1">
      <alignment horizontal="center"/>
    </xf>
    <xf numFmtId="190" fontId="28" fillId="0" borderId="13" xfId="0" applyNumberFormat="1" applyFont="1" applyFill="1" applyBorder="1" applyAlignment="1" applyProtection="1">
      <alignment/>
      <protection hidden="1"/>
    </xf>
    <xf numFmtId="190" fontId="28" fillId="0" borderId="68" xfId="0" applyNumberFormat="1" applyFont="1" applyFill="1" applyBorder="1" applyAlignment="1" applyProtection="1">
      <alignment/>
      <protection hidden="1"/>
    </xf>
    <xf numFmtId="190" fontId="50" fillId="0" borderId="13" xfId="0" applyNumberFormat="1" applyFont="1" applyFill="1" applyBorder="1" applyAlignment="1" applyProtection="1">
      <alignment/>
      <protection hidden="1"/>
    </xf>
    <xf numFmtId="190" fontId="50" fillId="0" borderId="69" xfId="0" applyNumberFormat="1" applyFont="1" applyFill="1" applyBorder="1" applyAlignment="1" applyProtection="1">
      <alignment/>
      <protection hidden="1"/>
    </xf>
    <xf numFmtId="190" fontId="28" fillId="0" borderId="69" xfId="0" applyNumberFormat="1" applyFont="1" applyFill="1" applyBorder="1" applyAlignment="1" applyProtection="1">
      <alignment/>
      <protection hidden="1"/>
    </xf>
    <xf numFmtId="190" fontId="51" fillId="0" borderId="70" xfId="0" applyNumberFormat="1" applyFont="1" applyFill="1" applyBorder="1" applyAlignment="1" applyProtection="1">
      <alignment/>
      <protection hidden="1"/>
    </xf>
    <xf numFmtId="190" fontId="51" fillId="0" borderId="71" xfId="0" applyNumberFormat="1" applyFont="1" applyFill="1" applyBorder="1" applyAlignment="1" applyProtection="1">
      <alignment/>
      <protection hidden="1"/>
    </xf>
    <xf numFmtId="0" fontId="1" fillId="0" borderId="37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35" borderId="27" xfId="0" applyFont="1" applyFill="1" applyBorder="1" applyAlignment="1" applyProtection="1">
      <alignment horizontal="right"/>
      <protection hidden="1"/>
    </xf>
    <xf numFmtId="1" fontId="0" fillId="35" borderId="28" xfId="0" applyNumberFormat="1" applyFill="1" applyBorder="1" applyAlignment="1">
      <alignment horizontal="center"/>
    </xf>
    <xf numFmtId="0" fontId="0" fillId="35" borderId="27" xfId="0" applyFill="1" applyBorder="1" applyAlignment="1" applyProtection="1">
      <alignment horizontal="right"/>
      <protection hidden="1"/>
    </xf>
    <xf numFmtId="0" fontId="52" fillId="35" borderId="29" xfId="54" applyFont="1" applyFill="1" applyBorder="1" applyAlignment="1" applyProtection="1">
      <alignment horizontal="right"/>
      <protection locked="0"/>
    </xf>
    <xf numFmtId="1" fontId="53" fillId="35" borderId="30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179" fontId="0" fillId="0" borderId="51" xfId="0" applyNumberFormat="1" applyBorder="1" applyAlignment="1">
      <alignment/>
    </xf>
    <xf numFmtId="0" fontId="54" fillId="35" borderId="48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45" borderId="9" xfId="0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hidden="1"/>
    </xf>
    <xf numFmtId="1" fontId="0" fillId="0" borderId="72" xfId="0" applyNumberFormat="1" applyFont="1" applyFill="1" applyBorder="1" applyAlignment="1" applyProtection="1">
      <alignment/>
      <protection hidden="1"/>
    </xf>
    <xf numFmtId="1" fontId="52" fillId="0" borderId="73" xfId="0" applyNumberFormat="1" applyFont="1" applyFill="1" applyBorder="1" applyAlignment="1" applyProtection="1">
      <alignment/>
      <protection hidden="1"/>
    </xf>
    <xf numFmtId="0" fontId="11" fillId="0" borderId="74" xfId="0" applyFont="1" applyFill="1" applyBorder="1" applyAlignment="1" applyProtection="1">
      <alignment horizontal="right"/>
      <protection hidden="1"/>
    </xf>
    <xf numFmtId="0" fontId="9" fillId="0" borderId="74" xfId="0" applyFont="1" applyFill="1" applyBorder="1" applyAlignment="1" applyProtection="1">
      <alignment horizontal="right"/>
      <protection hidden="1"/>
    </xf>
    <xf numFmtId="0" fontId="28" fillId="0" borderId="74" xfId="0" applyFont="1" applyFill="1" applyBorder="1" applyAlignment="1" applyProtection="1">
      <alignment horizontal="right"/>
      <protection hidden="1"/>
    </xf>
    <xf numFmtId="1" fontId="0" fillId="0" borderId="75" xfId="0" applyNumberFormat="1" applyFont="1" applyFill="1" applyBorder="1" applyAlignment="1" applyProtection="1">
      <alignment/>
      <protection hidden="1"/>
    </xf>
    <xf numFmtId="1" fontId="0" fillId="0" borderId="76" xfId="0" applyNumberFormat="1" applyFont="1" applyFill="1" applyBorder="1" applyAlignment="1" applyProtection="1">
      <alignment/>
      <protection hidden="1"/>
    </xf>
    <xf numFmtId="1" fontId="0" fillId="0" borderId="73" xfId="0" applyNumberFormat="1" applyFont="1" applyFill="1" applyBorder="1" applyAlignment="1" applyProtection="1">
      <alignment/>
      <protection hidden="1"/>
    </xf>
    <xf numFmtId="1" fontId="52" fillId="0" borderId="77" xfId="0" applyNumberFormat="1" applyFont="1" applyFill="1" applyBorder="1" applyAlignment="1" applyProtection="1">
      <alignment/>
      <protection hidden="1"/>
    </xf>
    <xf numFmtId="181" fontId="10" fillId="0" borderId="0" xfId="0" applyNumberFormat="1" applyFont="1" applyAlignment="1">
      <alignment/>
    </xf>
    <xf numFmtId="181" fontId="10" fillId="0" borderId="0" xfId="0" applyNumberFormat="1" applyFont="1" applyBorder="1" applyAlignment="1">
      <alignment/>
    </xf>
    <xf numFmtId="7" fontId="10" fillId="0" borderId="0" xfId="0" applyNumberFormat="1" applyFont="1" applyAlignment="1">
      <alignment/>
    </xf>
    <xf numFmtId="181" fontId="10" fillId="41" borderId="0" xfId="0" applyNumberFormat="1" applyFont="1" applyFill="1" applyAlignment="1">
      <alignment/>
    </xf>
    <xf numFmtId="0" fontId="10" fillId="41" borderId="0" xfId="0" applyFont="1" applyFill="1" applyAlignment="1">
      <alignment/>
    </xf>
    <xf numFmtId="0" fontId="14" fillId="3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41" borderId="12" xfId="0" applyFill="1" applyBorder="1" applyAlignment="1">
      <alignment/>
    </xf>
    <xf numFmtId="0" fontId="34" fillId="43" borderId="9" xfId="0" applyFont="1" applyFill="1" applyBorder="1" applyAlignment="1">
      <alignment horizontal="left"/>
    </xf>
    <xf numFmtId="0" fontId="0" fillId="0" borderId="0" xfId="0" applyAlignment="1">
      <alignment horizontal="left" vertical="top"/>
    </xf>
    <xf numFmtId="0" fontId="0" fillId="43" borderId="0" xfId="0" applyFill="1" applyAlignment="1">
      <alignment/>
    </xf>
    <xf numFmtId="0" fontId="0" fillId="43" borderId="0" xfId="0" applyFill="1" applyAlignment="1">
      <alignment/>
    </xf>
    <xf numFmtId="0" fontId="0" fillId="43" borderId="0" xfId="0" applyFill="1" applyAlignment="1">
      <alignment wrapText="1"/>
    </xf>
    <xf numFmtId="0" fontId="0" fillId="43" borderId="0" xfId="0" applyFont="1" applyFill="1" applyAlignment="1">
      <alignment horizontal="left" vertical="top"/>
    </xf>
    <xf numFmtId="0" fontId="0" fillId="43" borderId="0" xfId="0" applyFill="1" applyAlignment="1">
      <alignment horizontal="left" vertical="top"/>
    </xf>
    <xf numFmtId="0" fontId="1" fillId="43" borderId="0" xfId="0" applyFont="1" applyFill="1" applyAlignment="1">
      <alignment horizontal="left" vertical="top"/>
    </xf>
    <xf numFmtId="0" fontId="0" fillId="43" borderId="0" xfId="0" applyFill="1" applyAlignment="1" quotePrefix="1">
      <alignment horizontal="left" vertical="top"/>
    </xf>
    <xf numFmtId="0" fontId="5" fillId="43" borderId="0" xfId="0" applyFont="1" applyFill="1" applyAlignment="1">
      <alignment/>
    </xf>
    <xf numFmtId="0" fontId="56" fillId="0" borderId="0" xfId="0" applyFont="1" applyAlignment="1">
      <alignment/>
    </xf>
    <xf numFmtId="0" fontId="57" fillId="43" borderId="0" xfId="0" applyFont="1" applyFill="1" applyAlignment="1">
      <alignment/>
    </xf>
    <xf numFmtId="14" fontId="57" fillId="43" borderId="0" xfId="0" applyNumberFormat="1" applyFont="1" applyFill="1" applyAlignment="1">
      <alignment horizontal="center"/>
    </xf>
    <xf numFmtId="0" fontId="57" fillId="43" borderId="0" xfId="0" applyFont="1" applyFill="1" applyAlignment="1">
      <alignment horizontal="center"/>
    </xf>
    <xf numFmtId="0" fontId="58" fillId="43" borderId="0" xfId="0" applyFont="1" applyFill="1" applyAlignment="1">
      <alignment/>
    </xf>
    <xf numFmtId="190" fontId="50" fillId="0" borderId="78" xfId="0" applyNumberFormat="1" applyFont="1" applyFill="1" applyBorder="1" applyAlignment="1" applyProtection="1">
      <alignment/>
      <protection hidden="1"/>
    </xf>
    <xf numFmtId="190" fontId="28" fillId="0" borderId="78" xfId="0" applyNumberFormat="1" applyFont="1" applyFill="1" applyBorder="1" applyAlignment="1" applyProtection="1">
      <alignment/>
      <protection hidden="1"/>
    </xf>
    <xf numFmtId="2" fontId="11" fillId="0" borderId="79" xfId="0" applyNumberFormat="1" applyFont="1" applyFill="1" applyBorder="1" applyAlignment="1" applyProtection="1">
      <alignment/>
      <protection hidden="1"/>
    </xf>
    <xf numFmtId="2" fontId="9" fillId="0" borderId="79" xfId="0" applyNumberFormat="1" applyFont="1" applyFill="1" applyBorder="1" applyAlignment="1" applyProtection="1">
      <alignment/>
      <protection hidden="1"/>
    </xf>
    <xf numFmtId="190" fontId="28" fillId="0" borderId="79" xfId="0" applyNumberFormat="1" applyFont="1" applyFill="1" applyBorder="1" applyAlignment="1" applyProtection="1">
      <alignment/>
      <protection hidden="1"/>
    </xf>
    <xf numFmtId="190" fontId="50" fillId="0" borderId="79" xfId="0" applyNumberFormat="1" applyFont="1" applyFill="1" applyBorder="1" applyAlignment="1" applyProtection="1">
      <alignment/>
      <protection hidden="1"/>
    </xf>
    <xf numFmtId="190" fontId="28" fillId="0" borderId="51" xfId="0" applyNumberFormat="1" applyFont="1" applyFill="1" applyBorder="1" applyAlignment="1" applyProtection="1">
      <alignment/>
      <protection hidden="1"/>
    </xf>
    <xf numFmtId="190" fontId="6" fillId="0" borderId="79" xfId="0" applyNumberFormat="1" applyFont="1" applyFill="1" applyBorder="1" applyAlignment="1" applyProtection="1">
      <alignment/>
      <protection hidden="1"/>
    </xf>
    <xf numFmtId="190" fontId="6" fillId="0" borderId="80" xfId="0" applyNumberFormat="1" applyFont="1" applyFill="1" applyBorder="1" applyAlignment="1" applyProtection="1">
      <alignment/>
      <protection hidden="1"/>
    </xf>
    <xf numFmtId="190" fontId="28" fillId="0" borderId="81" xfId="0" applyNumberFormat="1" applyFont="1" applyFill="1" applyBorder="1" applyAlignment="1" applyProtection="1">
      <alignment/>
      <protection hidden="1"/>
    </xf>
    <xf numFmtId="0" fontId="59" fillId="0" borderId="0" xfId="0" applyFont="1" applyFill="1" applyBorder="1" applyAlignment="1">
      <alignment horizontal="left"/>
    </xf>
    <xf numFmtId="0" fontId="9" fillId="43" borderId="0" xfId="0" applyFont="1" applyFill="1" applyAlignment="1" quotePrefix="1">
      <alignment horizontal="left" vertical="top"/>
    </xf>
    <xf numFmtId="0" fontId="9" fillId="43" borderId="0" xfId="0" applyFont="1" applyFill="1" applyAlignment="1">
      <alignment horizontal="left" vertical="top"/>
    </xf>
    <xf numFmtId="0" fontId="9" fillId="43" borderId="0" xfId="0" applyFont="1" applyFill="1" applyAlignment="1">
      <alignment/>
    </xf>
    <xf numFmtId="0" fontId="0" fillId="41" borderId="0" xfId="0" applyFill="1" applyAlignment="1">
      <alignment horizontal="center" vertical="top"/>
    </xf>
    <xf numFmtId="0" fontId="10" fillId="41" borderId="0" xfId="0" applyFont="1" applyFill="1" applyBorder="1" applyAlignment="1">
      <alignment horizontal="right"/>
    </xf>
    <xf numFmtId="181" fontId="62" fillId="45" borderId="9" xfId="46" applyNumberFormat="1" applyFont="1" applyFill="1" applyBorder="1" applyAlignment="1" applyProtection="1">
      <alignment/>
      <protection/>
    </xf>
    <xf numFmtId="181" fontId="62" fillId="45" borderId="9" xfId="61" applyNumberFormat="1" applyFont="1" applyFill="1" applyBorder="1" applyAlignment="1" applyProtection="1">
      <alignment/>
      <protection/>
    </xf>
    <xf numFmtId="178" fontId="62" fillId="45" borderId="9" xfId="46" applyFont="1" applyFill="1" applyBorder="1" applyAlignment="1" applyProtection="1">
      <alignment/>
      <protection locked="0"/>
    </xf>
    <xf numFmtId="0" fontId="42" fillId="35" borderId="0" xfId="0" applyFont="1" applyFill="1" applyAlignment="1" applyProtection="1">
      <alignment horizontal="centerContinuous"/>
      <protection/>
    </xf>
    <xf numFmtId="170" fontId="42" fillId="35" borderId="0" xfId="61" applyFont="1" applyFill="1" applyAlignment="1" applyProtection="1">
      <alignment horizontal="centerContinuous"/>
      <protection/>
    </xf>
    <xf numFmtId="0" fontId="0" fillId="35" borderId="0" xfId="0" applyFill="1" applyAlignment="1" applyProtection="1">
      <alignment/>
      <protection/>
    </xf>
    <xf numFmtId="0" fontId="60" fillId="35" borderId="0" xfId="0" applyFont="1" applyFill="1" applyAlignment="1" applyProtection="1">
      <alignment/>
      <protection/>
    </xf>
    <xf numFmtId="14" fontId="10" fillId="35" borderId="0" xfId="0" applyNumberFormat="1" applyFont="1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170" fontId="0" fillId="35" borderId="0" xfId="61" applyFont="1" applyFill="1" applyAlignment="1" applyProtection="1">
      <alignment/>
      <protection/>
    </xf>
    <xf numFmtId="0" fontId="0" fillId="35" borderId="0" xfId="0" applyFill="1" applyAlignment="1" quotePrefix="1">
      <alignment/>
    </xf>
    <xf numFmtId="0" fontId="0" fillId="35" borderId="0" xfId="0" applyFont="1" applyFill="1" applyAlignment="1" applyProtection="1">
      <alignment/>
      <protection/>
    </xf>
    <xf numFmtId="0" fontId="59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 quotePrefix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59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ont="1" applyFill="1" applyAlignment="1" applyProtection="1" quotePrefix="1">
      <alignment horizontal="right"/>
      <protection/>
    </xf>
    <xf numFmtId="0" fontId="10" fillId="35" borderId="0" xfId="0" applyFont="1" applyFill="1" applyBorder="1" applyAlignment="1" applyProtection="1">
      <alignment vertical="top"/>
      <protection/>
    </xf>
    <xf numFmtId="14" fontId="33" fillId="35" borderId="0" xfId="0" applyNumberFormat="1" applyFont="1" applyFill="1" applyBorder="1" applyAlignment="1" applyProtection="1">
      <alignment horizontal="left" vertical="top"/>
      <protection locked="0"/>
    </xf>
    <xf numFmtId="179" fontId="62" fillId="35" borderId="9" xfId="61" applyNumberFormat="1" applyFont="1" applyFill="1" applyBorder="1" applyAlignment="1" applyProtection="1">
      <alignment horizontal="center"/>
      <protection/>
    </xf>
    <xf numFmtId="0" fontId="1" fillId="35" borderId="0" xfId="0" applyFont="1" applyFill="1" applyAlignment="1" applyProtection="1" quotePrefix="1">
      <alignment horizontal="right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 locked="0"/>
    </xf>
    <xf numFmtId="0" fontId="62" fillId="35" borderId="9" xfId="0" applyFont="1" applyFill="1" applyBorder="1" applyAlignment="1" applyProtection="1">
      <alignment horizontal="center"/>
      <protection locked="0"/>
    </xf>
    <xf numFmtId="0" fontId="0" fillId="35" borderId="0" xfId="0" applyFont="1" applyFill="1" applyAlignment="1" applyProtection="1">
      <alignment horizontal="right"/>
      <protection/>
    </xf>
    <xf numFmtId="0" fontId="62" fillId="35" borderId="9" xfId="61" applyNumberFormat="1" applyFont="1" applyFill="1" applyBorder="1" applyAlignment="1" applyProtection="1">
      <alignment horizontal="center"/>
      <protection/>
    </xf>
    <xf numFmtId="0" fontId="62" fillId="35" borderId="50" xfId="0" applyFont="1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 horizontal="right"/>
      <protection/>
    </xf>
    <xf numFmtId="1" fontId="62" fillId="35" borderId="9" xfId="61" applyNumberFormat="1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right"/>
      <protection/>
    </xf>
    <xf numFmtId="1" fontId="62" fillId="35" borderId="42" xfId="61" applyNumberFormat="1" applyFont="1" applyFill="1" applyBorder="1" applyAlignment="1" applyProtection="1">
      <alignment horizontal="center"/>
      <protection/>
    </xf>
    <xf numFmtId="0" fontId="0" fillId="35" borderId="12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 horizontal="center"/>
      <protection/>
    </xf>
    <xf numFmtId="170" fontId="62" fillId="35" borderId="12" xfId="61" applyFont="1" applyFill="1" applyBorder="1" applyAlignment="1" applyProtection="1">
      <alignment/>
      <protection/>
    </xf>
    <xf numFmtId="0" fontId="0" fillId="35" borderId="24" xfId="0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0" fillId="35" borderId="82" xfId="0" applyFont="1" applyFill="1" applyBorder="1" applyAlignment="1" applyProtection="1">
      <alignment/>
      <protection/>
    </xf>
    <xf numFmtId="46" fontId="4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181" fontId="62" fillId="35" borderId="9" xfId="61" applyNumberFormat="1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center"/>
      <protection/>
    </xf>
    <xf numFmtId="181" fontId="62" fillId="35" borderId="28" xfId="46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 quotePrefix="1">
      <alignment/>
      <protection/>
    </xf>
    <xf numFmtId="181" fontId="62" fillId="35" borderId="9" xfId="0" applyNumberFormat="1" applyFont="1" applyFill="1" applyBorder="1" applyAlignment="1" applyProtection="1">
      <alignment horizontal="center"/>
      <protection/>
    </xf>
    <xf numFmtId="7" fontId="62" fillId="35" borderId="9" xfId="0" applyNumberFormat="1" applyFont="1" applyFill="1" applyBorder="1" applyAlignment="1" applyProtection="1">
      <alignment horizontal="right"/>
      <protection locked="0"/>
    </xf>
    <xf numFmtId="0" fontId="1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/>
      <protection/>
    </xf>
    <xf numFmtId="181" fontId="61" fillId="35" borderId="9" xfId="46" applyNumberFormat="1" applyFont="1" applyFill="1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170" fontId="62" fillId="35" borderId="30" xfId="61" applyFont="1" applyFill="1" applyBorder="1" applyAlignment="1" applyProtection="1">
      <alignment/>
      <protection/>
    </xf>
    <xf numFmtId="0" fontId="0" fillId="35" borderId="25" xfId="0" applyFill="1" applyBorder="1" applyAlignment="1" applyProtection="1">
      <alignment/>
      <protection/>
    </xf>
    <xf numFmtId="0" fontId="0" fillId="35" borderId="25" xfId="0" applyFill="1" applyBorder="1" applyAlignment="1" applyProtection="1">
      <alignment horizontal="center"/>
      <protection/>
    </xf>
    <xf numFmtId="170" fontId="62" fillId="35" borderId="26" xfId="6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1" fontId="0" fillId="35" borderId="9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center"/>
      <protection/>
    </xf>
    <xf numFmtId="189" fontId="62" fillId="35" borderId="9" xfId="46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centerContinuous"/>
      <protection locked="0"/>
    </xf>
    <xf numFmtId="178" fontId="62" fillId="35" borderId="9" xfId="46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/>
    </xf>
    <xf numFmtId="186" fontId="0" fillId="35" borderId="0" xfId="0" applyNumberFormat="1" applyFont="1" applyFill="1" applyBorder="1" applyAlignment="1">
      <alignment/>
    </xf>
    <xf numFmtId="10" fontId="0" fillId="35" borderId="0" xfId="0" applyNumberFormat="1" applyFont="1" applyFill="1" applyBorder="1" applyAlignment="1" applyProtection="1">
      <alignment horizontal="left"/>
      <protection/>
    </xf>
    <xf numFmtId="0" fontId="0" fillId="35" borderId="12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 horizontal="center"/>
      <protection/>
    </xf>
    <xf numFmtId="178" fontId="61" fillId="35" borderId="42" xfId="46" applyFont="1" applyFill="1" applyBorder="1" applyAlignment="1" applyProtection="1">
      <alignment/>
      <protection/>
    </xf>
    <xf numFmtId="0" fontId="0" fillId="35" borderId="25" xfId="0" applyFont="1" applyFill="1" applyBorder="1" applyAlignment="1" applyProtection="1">
      <alignment/>
      <protection/>
    </xf>
    <xf numFmtId="0" fontId="0" fillId="35" borderId="25" xfId="0" applyFont="1" applyFill="1" applyBorder="1" applyAlignment="1" applyProtection="1">
      <alignment horizontal="center"/>
      <protection/>
    </xf>
    <xf numFmtId="0" fontId="10" fillId="35" borderId="12" xfId="0" applyFont="1" applyFill="1" applyBorder="1" applyAlignment="1" applyProtection="1">
      <alignment/>
      <protection/>
    </xf>
    <xf numFmtId="170" fontId="62" fillId="35" borderId="28" xfId="61" applyFont="1" applyFill="1" applyBorder="1" applyAlignment="1" applyProtection="1">
      <alignment/>
      <protection/>
    </xf>
    <xf numFmtId="181" fontId="62" fillId="35" borderId="29" xfId="61" applyNumberFormat="1" applyFont="1" applyFill="1" applyBorder="1" applyAlignment="1" applyProtection="1">
      <alignment horizontal="center"/>
      <protection locked="0"/>
    </xf>
    <xf numFmtId="181" fontId="0" fillId="35" borderId="51" xfId="61" applyNumberFormat="1" applyFont="1" applyFill="1" applyBorder="1" applyAlignment="1" applyProtection="1">
      <alignment/>
      <protection locked="0"/>
    </xf>
    <xf numFmtId="7" fontId="62" fillId="35" borderId="38" xfId="0" applyNumberFormat="1" applyFont="1" applyFill="1" applyBorder="1" applyAlignment="1" applyProtection="1">
      <alignment horizontal="right"/>
      <protection locked="0"/>
    </xf>
    <xf numFmtId="181" fontId="62" fillId="35" borderId="37" xfId="0" applyNumberFormat="1" applyFont="1" applyFill="1" applyBorder="1" applyAlignment="1" applyProtection="1">
      <alignment horizontal="center"/>
      <protection/>
    </xf>
    <xf numFmtId="181" fontId="0" fillId="35" borderId="51" xfId="0" applyNumberForma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181" fontId="0" fillId="35" borderId="12" xfId="0" applyNumberFormat="1" applyFill="1" applyBorder="1" applyAlignment="1" applyProtection="1">
      <alignment/>
      <protection/>
    </xf>
    <xf numFmtId="178" fontId="62" fillId="35" borderId="28" xfId="46" applyFont="1" applyFill="1" applyBorder="1" applyAlignment="1" applyProtection="1">
      <alignment/>
      <protection locked="0"/>
    </xf>
    <xf numFmtId="0" fontId="1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/>
      <protection/>
    </xf>
    <xf numFmtId="178" fontId="62" fillId="35" borderId="0" xfId="46" applyFont="1" applyFill="1" applyBorder="1" applyAlignment="1" applyProtection="1">
      <alignment/>
      <protection/>
    </xf>
    <xf numFmtId="0" fontId="0" fillId="35" borderId="0" xfId="0" applyFont="1" applyFill="1" applyAlignment="1">
      <alignment horizontal="right"/>
    </xf>
    <xf numFmtId="0" fontId="0" fillId="35" borderId="0" xfId="0" applyFill="1" applyAlignment="1">
      <alignment horizontal="right"/>
    </xf>
    <xf numFmtId="0" fontId="3" fillId="35" borderId="0" xfId="49" applyFont="1" applyFill="1" applyAlignment="1" applyProtection="1">
      <alignment/>
      <protection/>
    </xf>
    <xf numFmtId="170" fontId="0" fillId="35" borderId="0" xfId="61" applyFont="1" applyFill="1" applyAlignment="1" applyProtection="1">
      <alignment/>
      <protection/>
    </xf>
    <xf numFmtId="0" fontId="0" fillId="35" borderId="0" xfId="0" applyFill="1" applyAlignment="1" applyProtection="1">
      <alignment/>
      <protection locked="0"/>
    </xf>
    <xf numFmtId="0" fontId="0" fillId="35" borderId="0" xfId="0" applyFont="1" applyFill="1" applyAlignment="1">
      <alignment/>
    </xf>
    <xf numFmtId="0" fontId="34" fillId="35" borderId="0" xfId="0" applyFont="1" applyFill="1" applyAlignment="1" applyProtection="1">
      <alignment/>
      <protection/>
    </xf>
    <xf numFmtId="0" fontId="34" fillId="35" borderId="0" xfId="0" applyFont="1" applyFill="1" applyAlignment="1" applyProtection="1">
      <alignment horizontal="center"/>
      <protection/>
    </xf>
    <xf numFmtId="0" fontId="59" fillId="0" borderId="0" xfId="0" applyFont="1" applyAlignment="1">
      <alignment horizontal="center"/>
    </xf>
    <xf numFmtId="0" fontId="65" fillId="35" borderId="0" xfId="0" applyFont="1" applyFill="1" applyAlignment="1">
      <alignment horizontal="left"/>
    </xf>
    <xf numFmtId="0" fontId="65" fillId="0" borderId="0" xfId="0" applyFont="1" applyFill="1" applyAlignment="1">
      <alignment horizontal="left"/>
    </xf>
    <xf numFmtId="0" fontId="34" fillId="35" borderId="0" xfId="0" applyFont="1" applyFill="1" applyBorder="1" applyAlignment="1" applyProtection="1">
      <alignment horizontal="left"/>
      <protection hidden="1"/>
    </xf>
    <xf numFmtId="0" fontId="66" fillId="35" borderId="0" xfId="0" applyFont="1" applyFill="1" applyBorder="1" applyAlignment="1" applyProtection="1">
      <alignment horizontal="center"/>
      <protection hidden="1"/>
    </xf>
    <xf numFmtId="0" fontId="34" fillId="35" borderId="0" xfId="0" applyFont="1" applyFill="1" applyBorder="1" applyAlignment="1" applyProtection="1">
      <alignment horizontal="center"/>
      <protection hidden="1"/>
    </xf>
    <xf numFmtId="0" fontId="59" fillId="35" borderId="0" xfId="0" applyFont="1" applyFill="1" applyAlignment="1">
      <alignment horizontal="center"/>
    </xf>
    <xf numFmtId="0" fontId="0" fillId="35" borderId="0" xfId="0" applyNumberFormat="1" applyFont="1" applyFill="1" applyAlignment="1" applyProtection="1">
      <alignment horizontal="right"/>
      <protection hidden="1"/>
    </xf>
    <xf numFmtId="0" fontId="33" fillId="46" borderId="9" xfId="0" applyFont="1" applyFill="1" applyBorder="1" applyAlignment="1" applyProtection="1">
      <alignment horizontal="center" vertical="center" wrapText="1"/>
      <protection hidden="1"/>
    </xf>
    <xf numFmtId="0" fontId="33" fillId="46" borderId="38" xfId="0" applyFont="1" applyFill="1" applyBorder="1" applyAlignment="1" applyProtection="1">
      <alignment horizontal="center" vertical="center" wrapText="1"/>
      <protection hidden="1"/>
    </xf>
    <xf numFmtId="1" fontId="33" fillId="46" borderId="38" xfId="0" applyNumberFormat="1" applyFont="1" applyFill="1" applyBorder="1" applyAlignment="1" applyProtection="1">
      <alignment horizontal="center" vertical="center" wrapText="1"/>
      <protection hidden="1"/>
    </xf>
    <xf numFmtId="0" fontId="62" fillId="35" borderId="0" xfId="0" applyFont="1" applyFill="1" applyBorder="1" applyAlignment="1" applyProtection="1">
      <alignment horizontal="left"/>
      <protection hidden="1"/>
    </xf>
    <xf numFmtId="0" fontId="0" fillId="35" borderId="12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left"/>
    </xf>
    <xf numFmtId="0" fontId="10" fillId="35" borderId="12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right"/>
    </xf>
    <xf numFmtId="0" fontId="0" fillId="43" borderId="0" xfId="0" applyFont="1" applyFill="1" applyAlignment="1" quotePrefix="1">
      <alignment horizontal="left" vertical="top"/>
    </xf>
    <xf numFmtId="192" fontId="45" fillId="0" borderId="11" xfId="0" applyNumberFormat="1" applyFont="1" applyFill="1" applyBorder="1" applyAlignment="1" quotePrefix="1">
      <alignment horizontal="center"/>
    </xf>
    <xf numFmtId="172" fontId="0" fillId="47" borderId="11" xfId="0" applyNumberFormat="1" applyFill="1" applyBorder="1" applyAlignment="1" applyProtection="1">
      <alignment horizontal="center"/>
      <protection locked="0"/>
    </xf>
    <xf numFmtId="0" fontId="0" fillId="48" borderId="0" xfId="0" applyFill="1" applyAlignment="1">
      <alignment/>
    </xf>
    <xf numFmtId="190" fontId="62" fillId="35" borderId="9" xfId="61" applyNumberFormat="1" applyFont="1" applyFill="1" applyBorder="1" applyAlignment="1" applyProtection="1">
      <alignment/>
      <protection/>
    </xf>
    <xf numFmtId="190" fontId="62" fillId="35" borderId="29" xfId="61" applyNumberFormat="1" applyFont="1" applyFill="1" applyBorder="1" applyAlignment="1" applyProtection="1">
      <alignment horizontal="center"/>
      <protection locked="0"/>
    </xf>
    <xf numFmtId="190" fontId="62" fillId="35" borderId="37" xfId="0" applyNumberFormat="1" applyFont="1" applyFill="1" applyBorder="1" applyAlignment="1" applyProtection="1">
      <alignment horizontal="center"/>
      <protection/>
    </xf>
    <xf numFmtId="190" fontId="62" fillId="35" borderId="9" xfId="0" applyNumberFormat="1" applyFont="1" applyFill="1" applyBorder="1" applyAlignment="1" applyProtection="1">
      <alignment horizontal="center"/>
      <protection/>
    </xf>
    <xf numFmtId="178" fontId="62" fillId="49" borderId="9" xfId="46" applyFont="1" applyFill="1" applyBorder="1" applyAlignment="1" applyProtection="1">
      <alignment/>
      <protection locked="0"/>
    </xf>
    <xf numFmtId="190" fontId="62" fillId="49" borderId="9" xfId="0" applyNumberFormat="1" applyFont="1" applyFill="1" applyBorder="1" applyAlignment="1" applyProtection="1">
      <alignment horizontal="center"/>
      <protection/>
    </xf>
    <xf numFmtId="0" fontId="1" fillId="35" borderId="82" xfId="0" applyFont="1" applyFill="1" applyBorder="1" applyAlignment="1" applyProtection="1">
      <alignment/>
      <protection/>
    </xf>
    <xf numFmtId="0" fontId="36" fillId="0" borderId="41" xfId="0" applyFont="1" applyBorder="1" applyAlignment="1">
      <alignment horizontal="right" vertical="top" wrapText="1"/>
    </xf>
    <xf numFmtId="189" fontId="62" fillId="35" borderId="42" xfId="46" applyNumberFormat="1" applyFont="1" applyFill="1" applyBorder="1" applyAlignment="1" applyProtection="1">
      <alignment horizontal="right"/>
      <protection locked="0"/>
    </xf>
    <xf numFmtId="189" fontId="61" fillId="35" borderId="9" xfId="46" applyNumberFormat="1" applyFont="1" applyFill="1" applyBorder="1" applyAlignment="1" applyProtection="1">
      <alignment/>
      <protection locked="0"/>
    </xf>
    <xf numFmtId="189" fontId="61" fillId="35" borderId="9" xfId="46" applyNumberFormat="1" applyFont="1" applyFill="1" applyBorder="1" applyAlignment="1" applyProtection="1">
      <alignment/>
      <protection/>
    </xf>
    <xf numFmtId="0" fontId="0" fillId="50" borderId="0" xfId="0" applyFill="1" applyBorder="1" applyAlignment="1" applyProtection="1">
      <alignment horizontal="center" vertical="center"/>
      <protection locked="0"/>
    </xf>
    <xf numFmtId="0" fontId="0" fillId="50" borderId="0" xfId="0" applyFill="1" applyAlignment="1">
      <alignment horizontal="center" vertical="center"/>
    </xf>
    <xf numFmtId="0" fontId="68" fillId="35" borderId="0" xfId="0" applyFont="1" applyFill="1" applyBorder="1" applyAlignment="1" applyProtection="1">
      <alignment/>
      <protection/>
    </xf>
    <xf numFmtId="172" fontId="0" fillId="0" borderId="83" xfId="0" applyNumberFormat="1" applyFill="1" applyBorder="1" applyAlignment="1" applyProtection="1">
      <alignment horizontal="center"/>
      <protection locked="0"/>
    </xf>
    <xf numFmtId="172" fontId="0" fillId="0" borderId="84" xfId="0" applyNumberFormat="1" applyFill="1" applyBorder="1" applyAlignment="1" applyProtection="1">
      <alignment horizontal="center"/>
      <protection locked="0"/>
    </xf>
    <xf numFmtId="172" fontId="0" fillId="0" borderId="42" xfId="0" applyNumberFormat="1" applyFill="1" applyBorder="1" applyAlignment="1" applyProtection="1">
      <alignment horizontal="center"/>
      <protection locked="0"/>
    </xf>
    <xf numFmtId="190" fontId="62" fillId="0" borderId="29" xfId="61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horizontal="left"/>
      <protection hidden="1"/>
    </xf>
    <xf numFmtId="0" fontId="10" fillId="0" borderId="0" xfId="0" applyFont="1" applyAlignment="1">
      <alignment/>
    </xf>
    <xf numFmtId="0" fontId="0" fillId="50" borderId="0" xfId="0" applyFill="1" applyBorder="1" applyAlignment="1" applyProtection="1">
      <alignment horizontal="right"/>
      <protection locked="0"/>
    </xf>
    <xf numFmtId="0" fontId="0" fillId="51" borderId="0" xfId="0" applyFont="1" applyFill="1" applyBorder="1" applyAlignment="1">
      <alignment horizontal="right"/>
    </xf>
    <xf numFmtId="170" fontId="62" fillId="35" borderId="9" xfId="61" applyFont="1" applyFill="1" applyBorder="1" applyAlignment="1" applyProtection="1">
      <alignment/>
      <protection/>
    </xf>
    <xf numFmtId="0" fontId="69" fillId="35" borderId="0" xfId="0" applyFont="1" applyFill="1" applyAlignment="1" applyProtection="1">
      <alignment horizontal="center"/>
      <protection/>
    </xf>
    <xf numFmtId="0" fontId="0" fillId="13" borderId="51" xfId="0" applyNumberFormat="1" applyFill="1" applyBorder="1" applyAlignment="1">
      <alignment/>
    </xf>
    <xf numFmtId="0" fontId="0" fillId="13" borderId="42" xfId="0" applyNumberFormat="1" applyFill="1" applyBorder="1" applyAlignment="1">
      <alignment/>
    </xf>
    <xf numFmtId="0" fontId="10" fillId="50" borderId="0" xfId="0" applyFont="1" applyFill="1" applyAlignment="1">
      <alignment/>
    </xf>
    <xf numFmtId="19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1" fillId="0" borderId="80" xfId="0" applyNumberFormat="1" applyFont="1" applyFill="1" applyBorder="1" applyAlignment="1" applyProtection="1">
      <alignment/>
      <protection hidden="1"/>
    </xf>
    <xf numFmtId="2" fontId="9" fillId="0" borderId="80" xfId="0" applyNumberFormat="1" applyFont="1" applyFill="1" applyBorder="1" applyAlignment="1" applyProtection="1">
      <alignment/>
      <protection hidden="1"/>
    </xf>
    <xf numFmtId="2" fontId="9" fillId="0" borderId="85" xfId="0" applyNumberFormat="1" applyFont="1" applyFill="1" applyBorder="1" applyAlignment="1" applyProtection="1">
      <alignment/>
      <protection hidden="1"/>
    </xf>
    <xf numFmtId="2" fontId="9" fillId="0" borderId="51" xfId="0" applyNumberFormat="1" applyFont="1" applyFill="1" applyBorder="1" applyAlignment="1" applyProtection="1">
      <alignment/>
      <protection hidden="1"/>
    </xf>
    <xf numFmtId="2" fontId="9" fillId="0" borderId="68" xfId="0" applyNumberFormat="1" applyFont="1" applyFill="1" applyBorder="1" applyAlignment="1" applyProtection="1">
      <alignment/>
      <protection hidden="1"/>
    </xf>
    <xf numFmtId="181" fontId="62" fillId="49" borderId="9" xfId="0" applyNumberFormat="1" applyFont="1" applyFill="1" applyBorder="1" applyAlignment="1" applyProtection="1">
      <alignment horizontal="center"/>
      <protection/>
    </xf>
    <xf numFmtId="7" fontId="62" fillId="49" borderId="9" xfId="0" applyNumberFormat="1" applyFont="1" applyFill="1" applyBorder="1" applyAlignment="1" applyProtection="1">
      <alignment horizontal="right"/>
      <protection locked="0"/>
    </xf>
    <xf numFmtId="0" fontId="0" fillId="35" borderId="0" xfId="0" applyFont="1" applyFill="1" applyAlignment="1" applyProtection="1">
      <alignment horizontal="left"/>
      <protection/>
    </xf>
    <xf numFmtId="0" fontId="1" fillId="35" borderId="0" xfId="0" applyFont="1" applyFill="1" applyAlignment="1" applyProtection="1">
      <alignment/>
      <protection/>
    </xf>
    <xf numFmtId="0" fontId="34" fillId="41" borderId="0" xfId="0" applyFont="1" applyFill="1" applyBorder="1" applyAlignment="1" applyProtection="1">
      <alignment horizontal="left"/>
      <protection/>
    </xf>
    <xf numFmtId="0" fontId="71" fillId="41" borderId="0" xfId="0" applyFont="1" applyFill="1" applyBorder="1" applyAlignment="1" applyProtection="1">
      <alignment/>
      <protection/>
    </xf>
    <xf numFmtId="0" fontId="0" fillId="41" borderId="26" xfId="0" applyFill="1" applyBorder="1" applyAlignment="1">
      <alignment/>
    </xf>
    <xf numFmtId="0" fontId="0" fillId="41" borderId="27" xfId="0" applyFill="1" applyBorder="1" applyAlignment="1">
      <alignment/>
    </xf>
    <xf numFmtId="0" fontId="0" fillId="41" borderId="28" xfId="0" applyFill="1" applyBorder="1" applyAlignment="1">
      <alignment/>
    </xf>
    <xf numFmtId="182" fontId="0" fillId="41" borderId="27" xfId="0" applyNumberFormat="1" applyFill="1" applyBorder="1" applyAlignment="1">
      <alignment horizontal="left"/>
    </xf>
    <xf numFmtId="0" fontId="0" fillId="42" borderId="28" xfId="0" applyFill="1" applyBorder="1" applyAlignment="1">
      <alignment/>
    </xf>
    <xf numFmtId="0" fontId="37" fillId="42" borderId="28" xfId="0" applyFont="1" applyFill="1" applyBorder="1" applyAlignment="1">
      <alignment/>
    </xf>
    <xf numFmtId="182" fontId="0" fillId="41" borderId="27" xfId="0" applyNumberFormat="1" applyFont="1" applyFill="1" applyBorder="1" applyAlignment="1" applyProtection="1">
      <alignment horizontal="left"/>
      <protection locked="0"/>
    </xf>
    <xf numFmtId="182" fontId="0" fillId="41" borderId="27" xfId="0" applyNumberFormat="1" applyFont="1" applyFill="1" applyBorder="1" applyAlignment="1" applyProtection="1">
      <alignment horizontal="left" vertical="top"/>
      <protection locked="0"/>
    </xf>
    <xf numFmtId="0" fontId="0" fillId="0" borderId="28" xfId="0" applyFill="1" applyBorder="1" applyAlignment="1">
      <alignment horizontal="left" vertical="top"/>
    </xf>
    <xf numFmtId="0" fontId="37" fillId="42" borderId="28" xfId="0" applyFont="1" applyFill="1" applyBorder="1" applyAlignment="1">
      <alignment horizontal="left" vertical="top"/>
    </xf>
    <xf numFmtId="182" fontId="0" fillId="41" borderId="29" xfId="0" applyNumberFormat="1" applyFill="1" applyBorder="1" applyAlignment="1">
      <alignment horizontal="left"/>
    </xf>
    <xf numFmtId="0" fontId="0" fillId="41" borderId="12" xfId="0" applyFill="1" applyBorder="1" applyAlignment="1" applyProtection="1">
      <alignment horizontal="left"/>
      <protection locked="0"/>
    </xf>
    <xf numFmtId="0" fontId="0" fillId="41" borderId="12" xfId="0" applyFill="1" applyBorder="1" applyAlignment="1">
      <alignment/>
    </xf>
    <xf numFmtId="0" fontId="37" fillId="42" borderId="30" xfId="0" applyFont="1" applyFill="1" applyBorder="1" applyAlignment="1">
      <alignment/>
    </xf>
    <xf numFmtId="182" fontId="0" fillId="41" borderId="24" xfId="0" applyNumberFormat="1" applyFill="1" applyBorder="1" applyAlignment="1">
      <alignment horizontal="left"/>
    </xf>
    <xf numFmtId="0" fontId="0" fillId="41" borderId="25" xfId="0" applyFill="1" applyBorder="1" applyAlignment="1" applyProtection="1">
      <alignment horizontal="left"/>
      <protection locked="0"/>
    </xf>
    <xf numFmtId="0" fontId="0" fillId="41" borderId="25" xfId="0" applyFill="1" applyBorder="1" applyAlignment="1">
      <alignment/>
    </xf>
    <xf numFmtId="0" fontId="0" fillId="41" borderId="27" xfId="0" applyFill="1" applyBorder="1" applyAlignment="1">
      <alignment/>
    </xf>
    <xf numFmtId="0" fontId="0" fillId="41" borderId="28" xfId="0" applyFill="1" applyBorder="1" applyAlignment="1">
      <alignment/>
    </xf>
    <xf numFmtId="0" fontId="0" fillId="41" borderId="29" xfId="0" applyFill="1" applyBorder="1" applyAlignment="1">
      <alignment/>
    </xf>
    <xf numFmtId="0" fontId="0" fillId="41" borderId="30" xfId="0" applyFill="1" applyBorder="1" applyAlignment="1">
      <alignment/>
    </xf>
    <xf numFmtId="0" fontId="0" fillId="41" borderId="27" xfId="0" applyFont="1" applyFill="1" applyBorder="1" applyAlignment="1" applyProtection="1">
      <alignment horizontal="right"/>
      <protection locked="0"/>
    </xf>
    <xf numFmtId="0" fontId="0" fillId="50" borderId="27" xfId="0" applyFont="1" applyFill="1" applyBorder="1" applyAlignment="1" applyProtection="1">
      <alignment horizontal="right"/>
      <protection locked="0"/>
    </xf>
    <xf numFmtId="0" fontId="0" fillId="41" borderId="27" xfId="0" applyFill="1" applyBorder="1" applyAlignment="1" applyProtection="1">
      <alignment horizontal="right"/>
      <protection locked="0"/>
    </xf>
    <xf numFmtId="0" fontId="0" fillId="50" borderId="29" xfId="0" applyFill="1" applyBorder="1" applyAlignment="1" applyProtection="1">
      <alignment horizontal="right"/>
      <protection locked="0"/>
    </xf>
    <xf numFmtId="0" fontId="0" fillId="50" borderId="12" xfId="0" applyFill="1" applyBorder="1" applyAlignment="1" applyProtection="1">
      <alignment horizontal="right"/>
      <protection locked="0"/>
    </xf>
    <xf numFmtId="0" fontId="1" fillId="34" borderId="24" xfId="0" applyFont="1" applyFill="1" applyBorder="1" applyAlignment="1">
      <alignment horizontal="left"/>
    </xf>
    <xf numFmtId="0" fontId="0" fillId="34" borderId="25" xfId="0" applyFill="1" applyBorder="1" applyAlignment="1">
      <alignment horizontal="right"/>
    </xf>
    <xf numFmtId="186" fontId="0" fillId="0" borderId="84" xfId="0" applyNumberFormat="1" applyFill="1" applyBorder="1" applyAlignment="1" applyProtection="1">
      <alignment horizontal="center"/>
      <protection locked="0"/>
    </xf>
    <xf numFmtId="0" fontId="1" fillId="34" borderId="27" xfId="0" applyFont="1" applyFill="1" applyBorder="1" applyAlignment="1">
      <alignment horizontal="left"/>
    </xf>
    <xf numFmtId="0" fontId="0" fillId="34" borderId="27" xfId="0" applyFill="1" applyBorder="1" applyAlignment="1">
      <alignment horizontal="right"/>
    </xf>
    <xf numFmtId="0" fontId="0" fillId="41" borderId="27" xfId="0" applyFill="1" applyBorder="1" applyAlignment="1">
      <alignment horizontal="right"/>
    </xf>
    <xf numFmtId="0" fontId="0" fillId="51" borderId="27" xfId="0" applyFill="1" applyBorder="1" applyAlignment="1">
      <alignment/>
    </xf>
    <xf numFmtId="0" fontId="0" fillId="41" borderId="29" xfId="0" applyFont="1" applyFill="1" applyBorder="1" applyAlignment="1" applyProtection="1">
      <alignment horizontal="right"/>
      <protection locked="0"/>
    </xf>
    <xf numFmtId="0" fontId="0" fillId="41" borderId="12" xfId="0" applyFont="1" applyFill="1" applyBorder="1" applyAlignment="1" applyProtection="1">
      <alignment horizontal="right"/>
      <protection locked="0"/>
    </xf>
    <xf numFmtId="0" fontId="0" fillId="41" borderId="24" xfId="0" applyFont="1" applyFill="1" applyBorder="1" applyAlignment="1" applyProtection="1">
      <alignment horizontal="right"/>
      <protection locked="0"/>
    </xf>
    <xf numFmtId="0" fontId="0" fillId="41" borderId="25" xfId="0" applyFont="1" applyFill="1" applyBorder="1" applyAlignment="1" applyProtection="1">
      <alignment horizontal="right"/>
      <protection locked="0"/>
    </xf>
    <xf numFmtId="0" fontId="12" fillId="41" borderId="37" xfId="49" applyFont="1" applyFill="1" applyBorder="1" applyAlignment="1" applyProtection="1">
      <alignment vertical="center"/>
      <protection/>
    </xf>
    <xf numFmtId="0" fontId="12" fillId="41" borderId="86" xfId="0" applyFont="1" applyFill="1" applyBorder="1" applyAlignment="1">
      <alignment horizontal="left" vertical="center"/>
    </xf>
    <xf numFmtId="0" fontId="0" fillId="41" borderId="38" xfId="0" applyFill="1" applyBorder="1" applyAlignment="1">
      <alignment/>
    </xf>
    <xf numFmtId="0" fontId="1" fillId="41" borderId="24" xfId="0" applyFont="1" applyFill="1" applyBorder="1" applyAlignment="1">
      <alignment/>
    </xf>
    <xf numFmtId="0" fontId="0" fillId="41" borderId="86" xfId="0" applyFill="1" applyBorder="1" applyAlignment="1">
      <alignment/>
    </xf>
    <xf numFmtId="0" fontId="1" fillId="41" borderId="38" xfId="0" applyFont="1" applyFill="1" applyBorder="1" applyAlignment="1">
      <alignment/>
    </xf>
    <xf numFmtId="0" fontId="0" fillId="43" borderId="9" xfId="0" applyFill="1" applyBorder="1" applyAlignment="1">
      <alignment/>
    </xf>
    <xf numFmtId="178" fontId="0" fillId="43" borderId="28" xfId="0" applyNumberFormat="1" applyFill="1" applyBorder="1" applyAlignment="1">
      <alignment horizontal="center"/>
    </xf>
    <xf numFmtId="0" fontId="6" fillId="43" borderId="9" xfId="0" applyFont="1" applyFill="1" applyBorder="1" applyAlignment="1">
      <alignment/>
    </xf>
    <xf numFmtId="178" fontId="6" fillId="43" borderId="28" xfId="0" applyNumberFormat="1" applyFont="1" applyFill="1" applyBorder="1" applyAlignment="1">
      <alignment horizontal="center"/>
    </xf>
    <xf numFmtId="0" fontId="0" fillId="43" borderId="28" xfId="0" applyFill="1" applyBorder="1" applyAlignment="1">
      <alignment horizontal="center"/>
    </xf>
    <xf numFmtId="0" fontId="1" fillId="41" borderId="42" xfId="0" applyFont="1" applyFill="1" applyBorder="1" applyAlignment="1">
      <alignment/>
    </xf>
    <xf numFmtId="0" fontId="48" fillId="41" borderId="9" xfId="0" applyFont="1" applyFill="1" applyBorder="1" applyAlignment="1">
      <alignment/>
    </xf>
    <xf numFmtId="0" fontId="0" fillId="43" borderId="51" xfId="0" applyFont="1" applyFill="1" applyBorder="1" applyAlignment="1">
      <alignment wrapText="1"/>
    </xf>
    <xf numFmtId="0" fontId="1" fillId="13" borderId="27" xfId="0" applyFont="1" applyFill="1" applyBorder="1" applyAlignment="1">
      <alignment/>
    </xf>
    <xf numFmtId="0" fontId="0" fillId="13" borderId="9" xfId="0" applyFont="1" applyFill="1" applyBorder="1" applyAlignment="1">
      <alignment/>
    </xf>
    <xf numFmtId="0" fontId="0" fillId="43" borderId="9" xfId="0" applyFont="1" applyFill="1" applyBorder="1" applyAlignment="1">
      <alignment/>
    </xf>
    <xf numFmtId="0" fontId="0" fillId="43" borderId="42" xfId="0" applyFont="1" applyFill="1" applyBorder="1" applyAlignment="1">
      <alignment/>
    </xf>
    <xf numFmtId="2" fontId="0" fillId="0" borderId="42" xfId="0" applyNumberFormat="1" applyFill="1" applyBorder="1" applyAlignment="1">
      <alignment/>
    </xf>
    <xf numFmtId="0" fontId="0" fillId="43" borderId="42" xfId="0" applyFill="1" applyBorder="1" applyAlignment="1">
      <alignment horizontal="center"/>
    </xf>
    <xf numFmtId="5" fontId="62" fillId="35" borderId="9" xfId="0" applyNumberFormat="1" applyFont="1" applyFill="1" applyBorder="1" applyAlignment="1" applyProtection="1">
      <alignment horizontal="right"/>
      <protection locked="0"/>
    </xf>
    <xf numFmtId="190" fontId="10" fillId="52" borderId="9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10" fillId="0" borderId="0" xfId="0" applyNumberFormat="1" applyFont="1" applyAlignment="1" applyProtection="1">
      <alignment/>
      <protection/>
    </xf>
    <xf numFmtId="181" fontId="0" fillId="35" borderId="0" xfId="0" applyNumberForma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left"/>
      <protection/>
    </xf>
    <xf numFmtId="181" fontId="0" fillId="35" borderId="0" xfId="0" applyNumberFormat="1" applyFill="1" applyAlignment="1" applyProtection="1">
      <alignment horizontal="center"/>
      <protection/>
    </xf>
    <xf numFmtId="181" fontId="0" fillId="35" borderId="0" xfId="0" applyNumberFormat="1" applyFill="1" applyBorder="1" applyAlignment="1" applyProtection="1">
      <alignment horizontal="center"/>
      <protection/>
    </xf>
    <xf numFmtId="4" fontId="10" fillId="0" borderId="0" xfId="0" applyNumberFormat="1" applyFont="1" applyAlignment="1">
      <alignment horizontal="right"/>
    </xf>
    <xf numFmtId="0" fontId="0" fillId="0" borderId="50" xfId="0" applyFill="1" applyBorder="1" applyAlignment="1">
      <alignment horizontal="left" vertical="top"/>
    </xf>
    <xf numFmtId="0" fontId="0" fillId="0" borderId="42" xfId="0" applyFill="1" applyBorder="1" applyAlignment="1">
      <alignment/>
    </xf>
    <xf numFmtId="0" fontId="0" fillId="41" borderId="28" xfId="0" applyFont="1" applyFill="1" applyBorder="1" applyAlignment="1" applyProtection="1">
      <alignment horizontal="right"/>
      <protection locked="0"/>
    </xf>
    <xf numFmtId="190" fontId="10" fillId="13" borderId="42" xfId="0" applyNumberFormat="1" applyFont="1" applyFill="1" applyBorder="1" applyAlignment="1">
      <alignment horizontal="center"/>
    </xf>
    <xf numFmtId="0" fontId="10" fillId="35" borderId="37" xfId="0" applyFont="1" applyFill="1" applyBorder="1" applyAlignment="1">
      <alignment/>
    </xf>
    <xf numFmtId="0" fontId="10" fillId="35" borderId="38" xfId="0" applyFont="1" applyFill="1" applyBorder="1" applyAlignment="1">
      <alignment/>
    </xf>
    <xf numFmtId="190" fontId="0" fillId="0" borderId="28" xfId="0" applyNumberFormat="1" applyFill="1" applyBorder="1" applyAlignment="1">
      <alignment horizontal="left" vertical="top"/>
    </xf>
    <xf numFmtId="190" fontId="10" fillId="52" borderId="5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 horizontal="center"/>
    </xf>
    <xf numFmtId="190" fontId="10" fillId="0" borderId="0" xfId="0" applyNumberFormat="1" applyFont="1" applyFill="1" applyBorder="1" applyAlignment="1" applyProtection="1">
      <alignment horizontal="center"/>
      <protection/>
    </xf>
    <xf numFmtId="0" fontId="10" fillId="35" borderId="9" xfId="0" applyFont="1" applyFill="1" applyBorder="1" applyAlignment="1">
      <alignment horizontal="center"/>
    </xf>
    <xf numFmtId="173" fontId="10" fillId="0" borderId="47" xfId="0" applyNumberFormat="1" applyFont="1" applyFill="1" applyBorder="1" applyAlignment="1" applyProtection="1">
      <alignment horizontal="center"/>
      <protection/>
    </xf>
    <xf numFmtId="173" fontId="10" fillId="9" borderId="47" xfId="0" applyNumberFormat="1" applyFont="1" applyFill="1" applyBorder="1" applyAlignment="1" applyProtection="1">
      <alignment horizontal="center"/>
      <protection/>
    </xf>
    <xf numFmtId="175" fontId="10" fillId="9" borderId="48" xfId="0" applyNumberFormat="1" applyFont="1" applyFill="1" applyBorder="1" applyAlignment="1">
      <alignment horizontal="left"/>
    </xf>
    <xf numFmtId="180" fontId="10" fillId="9" borderId="48" xfId="0" applyNumberFormat="1" applyFont="1" applyFill="1" applyBorder="1" applyAlignment="1">
      <alignment horizontal="center"/>
    </xf>
    <xf numFmtId="190" fontId="45" fillId="9" borderId="11" xfId="0" applyNumberFormat="1" applyFont="1" applyFill="1" applyBorder="1" applyAlignment="1" quotePrefix="1">
      <alignment horizontal="center"/>
    </xf>
    <xf numFmtId="190" fontId="10" fillId="9" borderId="49" xfId="0" applyNumberFormat="1" applyFont="1" applyFill="1" applyBorder="1" applyAlignment="1" quotePrefix="1">
      <alignment horizontal="center"/>
    </xf>
    <xf numFmtId="0" fontId="0" fillId="0" borderId="28" xfId="0" applyFont="1" applyFill="1" applyBorder="1" applyAlignment="1">
      <alignment/>
    </xf>
    <xf numFmtId="177" fontId="10" fillId="35" borderId="47" xfId="0" applyNumberFormat="1" applyFont="1" applyFill="1" applyBorder="1" applyAlignment="1" applyProtection="1">
      <alignment horizontal="center"/>
      <protection/>
    </xf>
    <xf numFmtId="173" fontId="105" fillId="35" borderId="0" xfId="0" applyNumberFormat="1" applyFont="1" applyFill="1" applyBorder="1" applyAlignment="1" applyProtection="1">
      <alignment horizontal="center"/>
      <protection/>
    </xf>
    <xf numFmtId="0" fontId="14" fillId="39" borderId="37" xfId="0" applyFont="1" applyFill="1" applyBorder="1" applyAlignment="1" applyProtection="1">
      <alignment horizontal="center"/>
      <protection locked="0"/>
    </xf>
    <xf numFmtId="0" fontId="13" fillId="39" borderId="38" xfId="0" applyFont="1" applyFill="1" applyBorder="1" applyAlignment="1">
      <alignment horizontal="center"/>
    </xf>
    <xf numFmtId="0" fontId="12" fillId="41" borderId="0" xfId="49" applyFont="1" applyFill="1" applyAlignment="1" applyProtection="1">
      <alignment horizontal="right"/>
      <protection/>
    </xf>
    <xf numFmtId="0" fontId="0" fillId="51" borderId="0" xfId="0" applyFill="1" applyAlignment="1">
      <alignment horizontal="right"/>
    </xf>
    <xf numFmtId="0" fontId="10" fillId="41" borderId="0" xfId="0" applyFont="1" applyFill="1" applyAlignment="1">
      <alignment horizontal="right"/>
    </xf>
    <xf numFmtId="0" fontId="3" fillId="41" borderId="0" xfId="49" applyFill="1" applyAlignment="1" applyProtection="1">
      <alignment horizontal="center" vertical="top"/>
      <protection/>
    </xf>
    <xf numFmtId="0" fontId="0" fillId="41" borderId="0" xfId="0" applyFill="1" applyAlignment="1">
      <alignment horizontal="center"/>
    </xf>
    <xf numFmtId="0" fontId="67" fillId="48" borderId="0" xfId="0" applyFont="1" applyFill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0" fillId="41" borderId="0" xfId="0" applyFill="1" applyAlignment="1">
      <alignment/>
    </xf>
    <xf numFmtId="0" fontId="10" fillId="41" borderId="0" xfId="0" applyFont="1" applyFill="1" applyBorder="1" applyAlignment="1">
      <alignment horizontal="left"/>
    </xf>
    <xf numFmtId="0" fontId="10" fillId="41" borderId="0" xfId="0" applyFont="1" applyFill="1" applyAlignment="1">
      <alignment horizontal="left"/>
    </xf>
    <xf numFmtId="0" fontId="0" fillId="50" borderId="27" xfId="0" applyFont="1" applyFill="1" applyBorder="1" applyAlignment="1" applyProtection="1">
      <alignment horizontal="right"/>
      <protection locked="0"/>
    </xf>
    <xf numFmtId="0" fontId="0" fillId="34" borderId="28" xfId="0" applyFill="1" applyBorder="1" applyAlignment="1">
      <alignment horizontal="right"/>
    </xf>
    <xf numFmtId="0" fontId="0" fillId="41" borderId="29" xfId="0" applyFont="1" applyFill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8" fillId="0" borderId="50" xfId="0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10" fillId="41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3" fillId="41" borderId="0" xfId="49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10" fillId="41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1" borderId="0" xfId="0" applyFont="1" applyFill="1" applyBorder="1" applyAlignment="1" applyProtection="1">
      <alignment horizontal="center" vertical="top" wrapText="1"/>
      <protection locked="0"/>
    </xf>
    <xf numFmtId="0" fontId="14" fillId="41" borderId="0" xfId="0" applyFont="1" applyFill="1" applyBorder="1" applyAlignment="1" applyProtection="1">
      <alignment horizontal="center"/>
      <protection locked="0"/>
    </xf>
    <xf numFmtId="0" fontId="13" fillId="41" borderId="0" xfId="0" applyFont="1" applyFill="1" applyBorder="1" applyAlignment="1">
      <alignment horizontal="center"/>
    </xf>
    <xf numFmtId="172" fontId="14" fillId="39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/>
    </xf>
    <xf numFmtId="172" fontId="70" fillId="51" borderId="27" xfId="0" applyNumberFormat="1" applyFont="1" applyFill="1" applyBorder="1" applyAlignment="1" applyProtection="1">
      <alignment horizontal="right" vertical="center"/>
      <protection locked="0"/>
    </xf>
    <xf numFmtId="0" fontId="0" fillId="51" borderId="0" xfId="0" applyFill="1" applyBorder="1" applyAlignment="1">
      <alignment horizontal="right"/>
    </xf>
    <xf numFmtId="0" fontId="0" fillId="53" borderId="27" xfId="0" applyFont="1" applyFill="1" applyBorder="1" applyAlignment="1" applyProtection="1">
      <alignment horizontal="right"/>
      <protection locked="0"/>
    </xf>
    <xf numFmtId="0" fontId="0" fillId="53" borderId="0" xfId="0" applyFont="1" applyFill="1" applyBorder="1" applyAlignment="1">
      <alignment/>
    </xf>
    <xf numFmtId="0" fontId="14" fillId="54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14" fillId="54" borderId="87" xfId="0" applyFont="1" applyFill="1" applyBorder="1" applyAlignment="1">
      <alignment horizontal="center"/>
    </xf>
    <xf numFmtId="0" fontId="0" fillId="0" borderId="88" xfId="0" applyBorder="1" applyAlignment="1">
      <alignment horizontal="center"/>
    </xf>
    <xf numFmtId="0" fontId="40" fillId="0" borderId="89" xfId="0" applyFont="1" applyBorder="1" applyAlignment="1">
      <alignment horizontal="center"/>
    </xf>
    <xf numFmtId="0" fontId="18" fillId="0" borderId="90" xfId="0" applyFont="1" applyBorder="1" applyAlignment="1">
      <alignment horizontal="center"/>
    </xf>
    <xf numFmtId="0" fontId="14" fillId="54" borderId="24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35" borderId="0" xfId="0" applyFont="1" applyFill="1" applyAlignment="1">
      <alignment horizontal="right"/>
    </xf>
    <xf numFmtId="0" fontId="0" fillId="50" borderId="0" xfId="0" applyFill="1" applyAlignment="1">
      <alignment horizontal="right"/>
    </xf>
    <xf numFmtId="0" fontId="3" fillId="35" borderId="0" xfId="49" applyFont="1" applyFill="1" applyAlignment="1" applyProtection="1">
      <alignment/>
      <protection/>
    </xf>
    <xf numFmtId="0" fontId="0" fillId="35" borderId="0" xfId="0" applyFill="1" applyAlignment="1">
      <alignment/>
    </xf>
    <xf numFmtId="0" fontId="10" fillId="35" borderId="0" xfId="0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28" xfId="0" applyFont="1" applyBorder="1" applyAlignment="1">
      <alignment/>
    </xf>
    <xf numFmtId="0" fontId="41" fillId="3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0" fillId="35" borderId="12" xfId="0" applyFont="1" applyFill="1" applyBorder="1" applyAlignment="1" applyProtection="1">
      <alignment vertical="top"/>
      <protection/>
    </xf>
    <xf numFmtId="0" fontId="10" fillId="0" borderId="12" xfId="0" applyFont="1" applyBorder="1" applyAlignment="1">
      <alignment vertical="top"/>
    </xf>
    <xf numFmtId="0" fontId="0" fillId="35" borderId="27" xfId="0" applyFont="1" applyFill="1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173" fontId="33" fillId="35" borderId="29" xfId="0" applyNumberFormat="1" applyFont="1" applyFill="1" applyBorder="1" applyAlignment="1">
      <alignment horizontal="center" vertical="center" wrapText="1"/>
    </xf>
    <xf numFmtId="173" fontId="33" fillId="35" borderId="30" xfId="0" applyNumberFormat="1" applyFont="1" applyFill="1" applyBorder="1" applyAlignment="1">
      <alignment horizontal="center" vertical="center"/>
    </xf>
    <xf numFmtId="0" fontId="38" fillId="35" borderId="27" xfId="0" applyFont="1" applyFill="1" applyBorder="1" applyAlignment="1">
      <alignment horizontal="right"/>
    </xf>
    <xf numFmtId="0" fontId="38" fillId="35" borderId="0" xfId="0" applyFont="1" applyFill="1" applyBorder="1" applyAlignment="1">
      <alignment horizontal="right"/>
    </xf>
    <xf numFmtId="0" fontId="38" fillId="35" borderId="28" xfId="0" applyFont="1" applyFill="1" applyBorder="1" applyAlignment="1">
      <alignment horizontal="right"/>
    </xf>
    <xf numFmtId="0" fontId="10" fillId="44" borderId="0" xfId="0" applyFont="1" applyFill="1" applyBorder="1" applyAlignment="1">
      <alignment horizontal="center"/>
    </xf>
    <xf numFmtId="0" fontId="10" fillId="44" borderId="28" xfId="0" applyFont="1" applyFill="1" applyBorder="1" applyAlignment="1">
      <alignment horizontal="center"/>
    </xf>
    <xf numFmtId="0" fontId="10" fillId="55" borderId="0" xfId="0" applyFont="1" applyFill="1" applyBorder="1" applyAlignment="1">
      <alignment horizontal="center"/>
    </xf>
    <xf numFmtId="0" fontId="10" fillId="55" borderId="28" xfId="0" applyFont="1" applyFill="1" applyBorder="1" applyAlignment="1">
      <alignment horizontal="center"/>
    </xf>
    <xf numFmtId="0" fontId="10" fillId="13" borderId="0" xfId="0" applyFont="1" applyFill="1" applyBorder="1" applyAlignment="1">
      <alignment horizontal="center"/>
    </xf>
    <xf numFmtId="0" fontId="10" fillId="13" borderId="28" xfId="0" applyFont="1" applyFill="1" applyBorder="1" applyAlignment="1">
      <alignment horizontal="center"/>
    </xf>
    <xf numFmtId="0" fontId="10" fillId="42" borderId="0" xfId="0" applyFont="1" applyFill="1" applyBorder="1" applyAlignment="1">
      <alignment horizontal="center"/>
    </xf>
    <xf numFmtId="0" fontId="10" fillId="42" borderId="28" xfId="0" applyFont="1" applyFill="1" applyBorder="1" applyAlignment="1">
      <alignment horizontal="center"/>
    </xf>
    <xf numFmtId="0" fontId="10" fillId="41" borderId="28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0" fontId="10" fillId="35" borderId="27" xfId="0" applyFont="1" applyFill="1" applyBorder="1" applyAlignment="1">
      <alignment horizontal="right"/>
    </xf>
    <xf numFmtId="0" fontId="10" fillId="50" borderId="0" xfId="0" applyFont="1" applyFill="1" applyBorder="1" applyAlignment="1">
      <alignment horizontal="right"/>
    </xf>
    <xf numFmtId="0" fontId="10" fillId="35" borderId="28" xfId="0" applyFont="1" applyFill="1" applyBorder="1" applyAlignment="1">
      <alignment horizontal="right"/>
    </xf>
    <xf numFmtId="0" fontId="33" fillId="35" borderId="0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wrapText="1"/>
    </xf>
    <xf numFmtId="0" fontId="0" fillId="50" borderId="0" xfId="0" applyFill="1" applyBorder="1" applyAlignment="1">
      <alignment horizontal="right"/>
    </xf>
    <xf numFmtId="0" fontId="0" fillId="35" borderId="0" xfId="0" applyFill="1" applyBorder="1" applyAlignment="1">
      <alignment/>
    </xf>
    <xf numFmtId="0" fontId="0" fillId="35" borderId="0" xfId="0" applyNumberFormat="1" applyFont="1" applyFill="1" applyAlignment="1" applyProtection="1">
      <alignment horizontal="right"/>
      <protection hidden="1"/>
    </xf>
    <xf numFmtId="173" fontId="33" fillId="35" borderId="37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9" fillId="35" borderId="0" xfId="0" applyNumberFormat="1" applyFont="1" applyFill="1" applyAlignment="1" applyProtection="1">
      <alignment horizontal="right"/>
      <protection hidden="1"/>
    </xf>
    <xf numFmtId="0" fontId="3" fillId="43" borderId="0" xfId="49" applyFill="1" applyAlignment="1" applyProtection="1">
      <alignment horizontal="left" vertical="top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_RA Kalender der 3A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wochenende" xfId="64"/>
    <cellStyle name="Zelle überprüfen" xfId="65"/>
  </cellStyles>
  <dxfs count="318"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55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22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b val="0"/>
        <i val="0"/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22"/>
        </patternFill>
      </fill>
    </dxf>
    <dxf>
      <font>
        <color indexed="42"/>
      </font>
    </dxf>
    <dxf>
      <font>
        <color indexed="9"/>
      </font>
    </dxf>
    <dxf>
      <font>
        <b/>
        <i val="0"/>
        <color auto="1"/>
      </font>
    </dxf>
    <dxf>
      <font>
        <color indexed="10"/>
      </font>
      <fill>
        <patternFill>
          <bgColor indexed="13"/>
        </patternFill>
      </fill>
    </dxf>
    <dxf>
      <font>
        <color indexed="8"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 patternType="solid">
          <bgColor indexed="5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6E6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EAFF"/>
      <rgbColor rgb="00CCFFCC"/>
      <rgbColor rgb="00FFFF99"/>
      <rgbColor rgb="00CCECFF"/>
      <rgbColor rgb="00FEB0B0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FAFA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48.emf" /><Relationship Id="rId3" Type="http://schemas.openxmlformats.org/officeDocument/2006/relationships/image" Target="../media/image67.emf" /><Relationship Id="rId4" Type="http://schemas.openxmlformats.org/officeDocument/2006/relationships/image" Target="../media/image3.emf" /><Relationship Id="rId5" Type="http://schemas.openxmlformats.org/officeDocument/2006/relationships/image" Target="../media/image50.emf" /><Relationship Id="rId6" Type="http://schemas.openxmlformats.org/officeDocument/2006/relationships/image" Target="../media/image16.emf" /><Relationship Id="rId7" Type="http://schemas.openxmlformats.org/officeDocument/2006/relationships/image" Target="../media/image49.emf" /><Relationship Id="rId8" Type="http://schemas.openxmlformats.org/officeDocument/2006/relationships/image" Target="../media/image5.emf" /><Relationship Id="rId9" Type="http://schemas.openxmlformats.org/officeDocument/2006/relationships/image" Target="../media/image24.emf" /><Relationship Id="rId10" Type="http://schemas.openxmlformats.org/officeDocument/2006/relationships/image" Target="../media/image13.emf" /><Relationship Id="rId11" Type="http://schemas.openxmlformats.org/officeDocument/2006/relationships/image" Target="../media/image30.emf" /><Relationship Id="rId12" Type="http://schemas.openxmlformats.org/officeDocument/2006/relationships/image" Target="../media/image7.emf" /><Relationship Id="rId13" Type="http://schemas.openxmlformats.org/officeDocument/2006/relationships/image" Target="../media/image69.emf" /><Relationship Id="rId14" Type="http://schemas.openxmlformats.org/officeDocument/2006/relationships/image" Target="../media/image43.emf" /><Relationship Id="rId15" Type="http://schemas.openxmlformats.org/officeDocument/2006/relationships/image" Target="../media/image31.emf" /><Relationship Id="rId16" Type="http://schemas.openxmlformats.org/officeDocument/2006/relationships/image" Target="../media/image5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70.emf" /><Relationship Id="rId2" Type="http://schemas.openxmlformats.org/officeDocument/2006/relationships/image" Target="../media/image59.emf" /><Relationship Id="rId3" Type="http://schemas.openxmlformats.org/officeDocument/2006/relationships/image" Target="../media/image29.emf" /><Relationship Id="rId4" Type="http://schemas.openxmlformats.org/officeDocument/2006/relationships/image" Target="../media/image6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.emf" /><Relationship Id="rId3" Type="http://schemas.openxmlformats.org/officeDocument/2006/relationships/image" Target="../media/image21.emf" /><Relationship Id="rId4" Type="http://schemas.openxmlformats.org/officeDocument/2006/relationships/image" Target="../media/image6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1.emf" /><Relationship Id="rId3" Type="http://schemas.openxmlformats.org/officeDocument/2006/relationships/image" Target="../media/image41.emf" /><Relationship Id="rId4" Type="http://schemas.openxmlformats.org/officeDocument/2006/relationships/image" Target="../media/image27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Relationship Id="rId2" Type="http://schemas.openxmlformats.org/officeDocument/2006/relationships/image" Target="../media/image36.emf" /><Relationship Id="rId3" Type="http://schemas.openxmlformats.org/officeDocument/2006/relationships/image" Target="../media/image37.emf" /><Relationship Id="rId4" Type="http://schemas.openxmlformats.org/officeDocument/2006/relationships/image" Target="../media/image10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Relationship Id="rId2" Type="http://schemas.openxmlformats.org/officeDocument/2006/relationships/image" Target="../media/image22.emf" /><Relationship Id="rId3" Type="http://schemas.openxmlformats.org/officeDocument/2006/relationships/image" Target="../media/image17.emf" /><Relationship Id="rId4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38.emf" /><Relationship Id="rId3" Type="http://schemas.openxmlformats.org/officeDocument/2006/relationships/image" Target="../media/image51.emf" /><Relationship Id="rId4" Type="http://schemas.openxmlformats.org/officeDocument/2006/relationships/image" Target="../media/image33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Relationship Id="rId2" Type="http://schemas.openxmlformats.org/officeDocument/2006/relationships/image" Target="../media/image61.emf" /><Relationship Id="rId3" Type="http://schemas.openxmlformats.org/officeDocument/2006/relationships/image" Target="../media/image12.emf" /><Relationship Id="rId4" Type="http://schemas.openxmlformats.org/officeDocument/2006/relationships/image" Target="../media/image47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Relationship Id="rId3" Type="http://schemas.openxmlformats.org/officeDocument/2006/relationships/image" Target="../media/image9.emf" /><Relationship Id="rId4" Type="http://schemas.openxmlformats.org/officeDocument/2006/relationships/image" Target="../media/image6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Relationship Id="rId2" Type="http://schemas.openxmlformats.org/officeDocument/2006/relationships/image" Target="../media/image6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image" Target="../media/image23.emf" /><Relationship Id="rId3" Type="http://schemas.openxmlformats.org/officeDocument/2006/relationships/image" Target="../media/image54.emf" /><Relationship Id="rId4" Type="http://schemas.openxmlformats.org/officeDocument/2006/relationships/image" Target="../media/image5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6.emf" /><Relationship Id="rId3" Type="http://schemas.openxmlformats.org/officeDocument/2006/relationships/image" Target="../media/image44.emf" /><Relationship Id="rId4" Type="http://schemas.openxmlformats.org/officeDocument/2006/relationships/image" Target="../media/image4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5.emf" /><Relationship Id="rId2" Type="http://schemas.openxmlformats.org/officeDocument/2006/relationships/image" Target="../media/image42.emf" /><Relationship Id="rId3" Type="http://schemas.openxmlformats.org/officeDocument/2006/relationships/image" Target="../media/image28.emf" /><Relationship Id="rId4" Type="http://schemas.openxmlformats.org/officeDocument/2006/relationships/image" Target="../media/image4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7.emf" /><Relationship Id="rId2" Type="http://schemas.openxmlformats.org/officeDocument/2006/relationships/image" Target="../media/image66.emf" /><Relationship Id="rId3" Type="http://schemas.openxmlformats.org/officeDocument/2006/relationships/image" Target="../media/image20.emf" /><Relationship Id="rId4" Type="http://schemas.openxmlformats.org/officeDocument/2006/relationships/image" Target="../media/image5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28</xdr:row>
      <xdr:rowOff>66675</xdr:rowOff>
    </xdr:from>
    <xdr:to>
      <xdr:col>9</xdr:col>
      <xdr:colOff>476250</xdr:colOff>
      <xdr:row>29</xdr:row>
      <xdr:rowOff>152400</xdr:rowOff>
    </xdr:to>
    <xdr:pic>
      <xdr:nvPicPr>
        <xdr:cNvPr id="1" name="Jan_cmd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67675" y="464820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29</xdr:row>
      <xdr:rowOff>142875</xdr:rowOff>
    </xdr:from>
    <xdr:to>
      <xdr:col>9</xdr:col>
      <xdr:colOff>476250</xdr:colOff>
      <xdr:row>31</xdr:row>
      <xdr:rowOff>66675</xdr:rowOff>
    </xdr:to>
    <xdr:pic>
      <xdr:nvPicPr>
        <xdr:cNvPr id="2" name="Feb_cmd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067675" y="4886325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31</xdr:row>
      <xdr:rowOff>57150</xdr:rowOff>
    </xdr:from>
    <xdr:to>
      <xdr:col>9</xdr:col>
      <xdr:colOff>476250</xdr:colOff>
      <xdr:row>32</xdr:row>
      <xdr:rowOff>142875</xdr:rowOff>
    </xdr:to>
    <xdr:pic>
      <xdr:nvPicPr>
        <xdr:cNvPr id="3" name="Mrz_cmd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067675" y="512445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523875</xdr:colOff>
      <xdr:row>28</xdr:row>
      <xdr:rowOff>66675</xdr:rowOff>
    </xdr:from>
    <xdr:to>
      <xdr:col>10</xdr:col>
      <xdr:colOff>190500</xdr:colOff>
      <xdr:row>29</xdr:row>
      <xdr:rowOff>152400</xdr:rowOff>
    </xdr:to>
    <xdr:pic>
      <xdr:nvPicPr>
        <xdr:cNvPr id="4" name="April_cmd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562975" y="464820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523875</xdr:colOff>
      <xdr:row>29</xdr:row>
      <xdr:rowOff>142875</xdr:rowOff>
    </xdr:from>
    <xdr:to>
      <xdr:col>10</xdr:col>
      <xdr:colOff>180975</xdr:colOff>
      <xdr:row>31</xdr:row>
      <xdr:rowOff>57150</xdr:rowOff>
    </xdr:to>
    <xdr:pic>
      <xdr:nvPicPr>
        <xdr:cNvPr id="5" name="Mai_cm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8562975" y="4886325"/>
          <a:ext cx="4381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523875</xdr:colOff>
      <xdr:row>31</xdr:row>
      <xdr:rowOff>57150</xdr:rowOff>
    </xdr:from>
    <xdr:to>
      <xdr:col>10</xdr:col>
      <xdr:colOff>190500</xdr:colOff>
      <xdr:row>32</xdr:row>
      <xdr:rowOff>142875</xdr:rowOff>
    </xdr:to>
    <xdr:pic>
      <xdr:nvPicPr>
        <xdr:cNvPr id="6" name="Juni_cmd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562975" y="512445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276225</xdr:colOff>
      <xdr:row>28</xdr:row>
      <xdr:rowOff>66675</xdr:rowOff>
    </xdr:from>
    <xdr:to>
      <xdr:col>10</xdr:col>
      <xdr:colOff>723900</xdr:colOff>
      <xdr:row>29</xdr:row>
      <xdr:rowOff>152400</xdr:rowOff>
    </xdr:to>
    <xdr:pic>
      <xdr:nvPicPr>
        <xdr:cNvPr id="7" name="Juli_cmd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9096375" y="464820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276225</xdr:colOff>
      <xdr:row>29</xdr:row>
      <xdr:rowOff>142875</xdr:rowOff>
    </xdr:from>
    <xdr:to>
      <xdr:col>10</xdr:col>
      <xdr:colOff>723900</xdr:colOff>
      <xdr:row>31</xdr:row>
      <xdr:rowOff>66675</xdr:rowOff>
    </xdr:to>
    <xdr:pic>
      <xdr:nvPicPr>
        <xdr:cNvPr id="8" name="Aug_cmd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9096375" y="4886325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276225</xdr:colOff>
      <xdr:row>31</xdr:row>
      <xdr:rowOff>57150</xdr:rowOff>
    </xdr:from>
    <xdr:to>
      <xdr:col>10</xdr:col>
      <xdr:colOff>723900</xdr:colOff>
      <xdr:row>32</xdr:row>
      <xdr:rowOff>142875</xdr:rowOff>
    </xdr:to>
    <xdr:pic>
      <xdr:nvPicPr>
        <xdr:cNvPr id="9" name="Sep_cmd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9096375" y="512445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66675</xdr:rowOff>
    </xdr:from>
    <xdr:to>
      <xdr:col>12</xdr:col>
      <xdr:colOff>95250</xdr:colOff>
      <xdr:row>29</xdr:row>
      <xdr:rowOff>152400</xdr:rowOff>
    </xdr:to>
    <xdr:pic>
      <xdr:nvPicPr>
        <xdr:cNvPr id="10" name="Okt_cmd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9582150" y="464820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142875</xdr:rowOff>
    </xdr:from>
    <xdr:to>
      <xdr:col>12</xdr:col>
      <xdr:colOff>95250</xdr:colOff>
      <xdr:row>31</xdr:row>
      <xdr:rowOff>66675</xdr:rowOff>
    </xdr:to>
    <xdr:pic>
      <xdr:nvPicPr>
        <xdr:cNvPr id="11" name="Nov_cmd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9582150" y="4886325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31</xdr:row>
      <xdr:rowOff>57150</xdr:rowOff>
    </xdr:from>
    <xdr:to>
      <xdr:col>12</xdr:col>
      <xdr:colOff>95250</xdr:colOff>
      <xdr:row>32</xdr:row>
      <xdr:rowOff>142875</xdr:rowOff>
    </xdr:to>
    <xdr:pic>
      <xdr:nvPicPr>
        <xdr:cNvPr id="12" name="Dez_cmd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9582150" y="512445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733425</xdr:colOff>
      <xdr:row>1</xdr:row>
      <xdr:rowOff>114300</xdr:rowOff>
    </xdr:from>
    <xdr:to>
      <xdr:col>13</xdr:col>
      <xdr:colOff>66675</xdr:colOff>
      <xdr:row>3</xdr:row>
      <xdr:rowOff>66675</xdr:rowOff>
    </xdr:to>
    <xdr:pic>
      <xdr:nvPicPr>
        <xdr:cNvPr id="13" name="Kalender_cm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53575" y="28575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</xdr:row>
      <xdr:rowOff>114300</xdr:rowOff>
    </xdr:from>
    <xdr:to>
      <xdr:col>10</xdr:col>
      <xdr:colOff>552450</xdr:colOff>
      <xdr:row>3</xdr:row>
      <xdr:rowOff>66675</xdr:rowOff>
    </xdr:to>
    <xdr:pic>
      <xdr:nvPicPr>
        <xdr:cNvPr id="14" name="Hinweis_cmd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896225" y="285750"/>
          <a:ext cx="1476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29</xdr:row>
      <xdr:rowOff>85725</xdr:rowOff>
    </xdr:from>
    <xdr:to>
      <xdr:col>8</xdr:col>
      <xdr:colOff>200025</xdr:colOff>
      <xdr:row>31</xdr:row>
      <xdr:rowOff>28575</xdr:rowOff>
    </xdr:to>
    <xdr:pic>
      <xdr:nvPicPr>
        <xdr:cNvPr id="15" name="JLohn_cmd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67525" y="4829175"/>
          <a:ext cx="904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29</xdr:row>
      <xdr:rowOff>85725</xdr:rowOff>
    </xdr:from>
    <xdr:to>
      <xdr:col>6</xdr:col>
      <xdr:colOff>485775</xdr:colOff>
      <xdr:row>30</xdr:row>
      <xdr:rowOff>152400</xdr:rowOff>
    </xdr:to>
    <xdr:pic>
      <xdr:nvPicPr>
        <xdr:cNvPr id="16" name="Azeit_cmd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10200" y="4829175"/>
          <a:ext cx="1228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304800</xdr:rowOff>
    </xdr:from>
    <xdr:to>
      <xdr:col>3</xdr:col>
      <xdr:colOff>9525</xdr:colOff>
      <xdr:row>37</xdr:row>
      <xdr:rowOff>123825</xdr:rowOff>
    </xdr:to>
    <xdr:sp macro="[0]!Info.hinweis">
      <xdr:nvSpPr>
        <xdr:cNvPr id="1" name="Rectangle 8"/>
        <xdr:cNvSpPr>
          <a:spLocks/>
        </xdr:cNvSpPr>
      </xdr:nvSpPr>
      <xdr:spPr>
        <a:xfrm>
          <a:off x="238125" y="1038225"/>
          <a:ext cx="752475" cy="443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0</xdr:rowOff>
    </xdr:from>
    <xdr:to>
      <xdr:col>8</xdr:col>
      <xdr:colOff>447675</xdr:colOff>
      <xdr:row>40</xdr:row>
      <xdr:rowOff>28575</xdr:rowOff>
    </xdr:to>
    <xdr:sp macro="[0]!Info.hinweis">
      <xdr:nvSpPr>
        <xdr:cNvPr id="2" name="Rectangle 9"/>
        <xdr:cNvSpPr>
          <a:spLocks/>
        </xdr:cNvSpPr>
      </xdr:nvSpPr>
      <xdr:spPr>
        <a:xfrm>
          <a:off x="3048000" y="1066800"/>
          <a:ext cx="914400" cy="474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495300</xdr:colOff>
      <xdr:row>44</xdr:row>
      <xdr:rowOff>133350</xdr:rowOff>
    </xdr:to>
    <xdr:sp macro="[0]!Info.hinweis">
      <xdr:nvSpPr>
        <xdr:cNvPr id="3" name="Rectangle 10"/>
        <xdr:cNvSpPr>
          <a:spLocks/>
        </xdr:cNvSpPr>
      </xdr:nvSpPr>
      <xdr:spPr>
        <a:xfrm>
          <a:off x="2009775" y="1085850"/>
          <a:ext cx="495300" cy="541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10</xdr:col>
      <xdr:colOff>19050</xdr:colOff>
      <xdr:row>44</xdr:row>
      <xdr:rowOff>47625</xdr:rowOff>
    </xdr:to>
    <xdr:sp macro="[0]!Info.hinweis">
      <xdr:nvSpPr>
        <xdr:cNvPr id="4" name="Rectangle 11"/>
        <xdr:cNvSpPr>
          <a:spLocks/>
        </xdr:cNvSpPr>
      </xdr:nvSpPr>
      <xdr:spPr>
        <a:xfrm>
          <a:off x="4019550" y="5819775"/>
          <a:ext cx="3143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50</xdr:row>
      <xdr:rowOff>57150</xdr:rowOff>
    </xdr:from>
    <xdr:to>
      <xdr:col>3</xdr:col>
      <xdr:colOff>333375</xdr:colOff>
      <xdr:row>52</xdr:row>
      <xdr:rowOff>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362825"/>
          <a:ext cx="10858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438150</xdr:colOff>
      <xdr:row>50</xdr:row>
      <xdr:rowOff>57150</xdr:rowOff>
    </xdr:from>
    <xdr:to>
      <xdr:col>4</xdr:col>
      <xdr:colOff>314325</xdr:colOff>
      <xdr:row>52</xdr:row>
      <xdr:rowOff>0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736282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409575</xdr:colOff>
      <xdr:row>50</xdr:row>
      <xdr:rowOff>66675</xdr:rowOff>
    </xdr:from>
    <xdr:to>
      <xdr:col>7</xdr:col>
      <xdr:colOff>47625</xdr:colOff>
      <xdr:row>52</xdr:row>
      <xdr:rowOff>9525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73723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133350</xdr:colOff>
      <xdr:row>50</xdr:row>
      <xdr:rowOff>66675</xdr:rowOff>
    </xdr:from>
    <xdr:to>
      <xdr:col>10</xdr:col>
      <xdr:colOff>38100</xdr:colOff>
      <xdr:row>52</xdr:row>
      <xdr:rowOff>9525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71825" y="73723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45</xdr:row>
      <xdr:rowOff>28575</xdr:rowOff>
    </xdr:to>
    <xdr:sp macro="[0]!Info.hinweis">
      <xdr:nvSpPr>
        <xdr:cNvPr id="9" name="Rectangle 40"/>
        <xdr:cNvSpPr>
          <a:spLocks/>
        </xdr:cNvSpPr>
      </xdr:nvSpPr>
      <xdr:spPr>
        <a:xfrm>
          <a:off x="4019550" y="5648325"/>
          <a:ext cx="3143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19050</xdr:rowOff>
    </xdr:from>
    <xdr:to>
      <xdr:col>3</xdr:col>
      <xdr:colOff>0</xdr:colOff>
      <xdr:row>37</xdr:row>
      <xdr:rowOff>0</xdr:rowOff>
    </xdr:to>
    <xdr:sp macro="[0]!Info.hinweis">
      <xdr:nvSpPr>
        <xdr:cNvPr id="1" name="Rectangle 8"/>
        <xdr:cNvSpPr>
          <a:spLocks/>
        </xdr:cNvSpPr>
      </xdr:nvSpPr>
      <xdr:spPr>
        <a:xfrm>
          <a:off x="238125" y="1047750"/>
          <a:ext cx="714375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285750</xdr:rowOff>
    </xdr:from>
    <xdr:to>
      <xdr:col>8</xdr:col>
      <xdr:colOff>485775</xdr:colOff>
      <xdr:row>38</xdr:row>
      <xdr:rowOff>114300</xdr:rowOff>
    </xdr:to>
    <xdr:sp macro="[0]!Info.hinweis">
      <xdr:nvSpPr>
        <xdr:cNvPr id="2" name="Rectangle 9"/>
        <xdr:cNvSpPr>
          <a:spLocks/>
        </xdr:cNvSpPr>
      </xdr:nvSpPr>
      <xdr:spPr>
        <a:xfrm>
          <a:off x="3057525" y="1019175"/>
          <a:ext cx="914400" cy="484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285750</xdr:rowOff>
    </xdr:from>
    <xdr:to>
      <xdr:col>6</xdr:col>
      <xdr:colOff>9525</xdr:colOff>
      <xdr:row>44</xdr:row>
      <xdr:rowOff>123825</xdr:rowOff>
    </xdr:to>
    <xdr:sp macro="[0]!Info.hinweis">
      <xdr:nvSpPr>
        <xdr:cNvPr id="3" name="Rectangle 10"/>
        <xdr:cNvSpPr>
          <a:spLocks/>
        </xdr:cNvSpPr>
      </xdr:nvSpPr>
      <xdr:spPr>
        <a:xfrm>
          <a:off x="1990725" y="1019175"/>
          <a:ext cx="504825" cy="578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19050</xdr:rowOff>
    </xdr:from>
    <xdr:to>
      <xdr:col>10</xdr:col>
      <xdr:colOff>19050</xdr:colOff>
      <xdr:row>44</xdr:row>
      <xdr:rowOff>0</xdr:rowOff>
    </xdr:to>
    <xdr:sp macro="[0]!Info.hinweis">
      <xdr:nvSpPr>
        <xdr:cNvPr id="4" name="Rectangle 11"/>
        <xdr:cNvSpPr>
          <a:spLocks/>
        </xdr:cNvSpPr>
      </xdr:nvSpPr>
      <xdr:spPr>
        <a:xfrm>
          <a:off x="3990975" y="6076950"/>
          <a:ext cx="3143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50</xdr:row>
      <xdr:rowOff>38100</xdr:rowOff>
    </xdr:from>
    <xdr:to>
      <xdr:col>3</xdr:col>
      <xdr:colOff>390525</xdr:colOff>
      <xdr:row>51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48575"/>
          <a:ext cx="10858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9525</xdr:colOff>
      <xdr:row>50</xdr:row>
      <xdr:rowOff>47625</xdr:rowOff>
    </xdr:from>
    <xdr:to>
      <xdr:col>4</xdr:col>
      <xdr:colOff>400050</xdr:colOff>
      <xdr:row>51</xdr:row>
      <xdr:rowOff>152400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765810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485775</xdr:colOff>
      <xdr:row>50</xdr:row>
      <xdr:rowOff>47625</xdr:rowOff>
    </xdr:from>
    <xdr:to>
      <xdr:col>7</xdr:col>
      <xdr:colOff>123825</xdr:colOff>
      <xdr:row>51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52625" y="76581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50</xdr:row>
      <xdr:rowOff>57150</xdr:rowOff>
    </xdr:from>
    <xdr:to>
      <xdr:col>10</xdr:col>
      <xdr:colOff>142875</xdr:colOff>
      <xdr:row>52</xdr:row>
      <xdr:rowOff>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48025" y="76676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45</xdr:row>
      <xdr:rowOff>28575</xdr:rowOff>
    </xdr:to>
    <xdr:sp macro="[0]!Info.hinweis">
      <xdr:nvSpPr>
        <xdr:cNvPr id="9" name="Rectangle 40"/>
        <xdr:cNvSpPr>
          <a:spLocks/>
        </xdr:cNvSpPr>
      </xdr:nvSpPr>
      <xdr:spPr>
        <a:xfrm>
          <a:off x="3990975" y="5915025"/>
          <a:ext cx="314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3</xdr:col>
      <xdr:colOff>0</xdr:colOff>
      <xdr:row>37</xdr:row>
      <xdr:rowOff>142875</xdr:rowOff>
    </xdr:to>
    <xdr:sp macro="[0]!Info.hinweis">
      <xdr:nvSpPr>
        <xdr:cNvPr id="1" name="Rectangle 19"/>
        <xdr:cNvSpPr>
          <a:spLocks/>
        </xdr:cNvSpPr>
      </xdr:nvSpPr>
      <xdr:spPr>
        <a:xfrm>
          <a:off x="238125" y="1028700"/>
          <a:ext cx="714375" cy="470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19050</xdr:rowOff>
    </xdr:from>
    <xdr:to>
      <xdr:col>8</xdr:col>
      <xdr:colOff>466725</xdr:colOff>
      <xdr:row>39</xdr:row>
      <xdr:rowOff>0</xdr:rowOff>
    </xdr:to>
    <xdr:sp macro="[0]!Info.hinweis">
      <xdr:nvSpPr>
        <xdr:cNvPr id="2" name="Rectangle 20"/>
        <xdr:cNvSpPr>
          <a:spLocks/>
        </xdr:cNvSpPr>
      </xdr:nvSpPr>
      <xdr:spPr>
        <a:xfrm>
          <a:off x="3057525" y="1038225"/>
          <a:ext cx="914400" cy="485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6</xdr:col>
      <xdr:colOff>0</xdr:colOff>
      <xdr:row>44</xdr:row>
      <xdr:rowOff>133350</xdr:rowOff>
    </xdr:to>
    <xdr:sp macro="[0]!Info.hinweis">
      <xdr:nvSpPr>
        <xdr:cNvPr id="3" name="Rectangle 21"/>
        <xdr:cNvSpPr>
          <a:spLocks/>
        </xdr:cNvSpPr>
      </xdr:nvSpPr>
      <xdr:spPr>
        <a:xfrm>
          <a:off x="1981200" y="1028700"/>
          <a:ext cx="504825" cy="577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28575</xdr:rowOff>
    </xdr:from>
    <xdr:to>
      <xdr:col>10</xdr:col>
      <xdr:colOff>19050</xdr:colOff>
      <xdr:row>44</xdr:row>
      <xdr:rowOff>0</xdr:rowOff>
    </xdr:to>
    <xdr:sp macro="[0]!Info.hinweis">
      <xdr:nvSpPr>
        <xdr:cNvPr id="4" name="Rectangle 22"/>
        <xdr:cNvSpPr>
          <a:spLocks/>
        </xdr:cNvSpPr>
      </xdr:nvSpPr>
      <xdr:spPr>
        <a:xfrm>
          <a:off x="4010025" y="6076950"/>
          <a:ext cx="3333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50</xdr:row>
      <xdr:rowOff>38100</xdr:rowOff>
    </xdr:from>
    <xdr:to>
      <xdr:col>3</xdr:col>
      <xdr:colOff>390525</xdr:colOff>
      <xdr:row>51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39050"/>
          <a:ext cx="10858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495300</xdr:colOff>
      <xdr:row>50</xdr:row>
      <xdr:rowOff>38100</xdr:rowOff>
    </xdr:from>
    <xdr:to>
      <xdr:col>4</xdr:col>
      <xdr:colOff>371475</xdr:colOff>
      <xdr:row>51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763905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457200</xdr:colOff>
      <xdr:row>50</xdr:row>
      <xdr:rowOff>47625</xdr:rowOff>
    </xdr:from>
    <xdr:to>
      <xdr:col>7</xdr:col>
      <xdr:colOff>76200</xdr:colOff>
      <xdr:row>51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76485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171450</xdr:colOff>
      <xdr:row>50</xdr:row>
      <xdr:rowOff>38100</xdr:rowOff>
    </xdr:from>
    <xdr:to>
      <xdr:col>10</xdr:col>
      <xdr:colOff>57150</xdr:colOff>
      <xdr:row>51</xdr:row>
      <xdr:rowOff>142875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0400" y="76390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45</xdr:row>
      <xdr:rowOff>28575</xdr:rowOff>
    </xdr:to>
    <xdr:sp macro="[0]!Info.hinweis">
      <xdr:nvSpPr>
        <xdr:cNvPr id="9" name="Rectangle 40"/>
        <xdr:cNvSpPr>
          <a:spLocks/>
        </xdr:cNvSpPr>
      </xdr:nvSpPr>
      <xdr:spPr>
        <a:xfrm>
          <a:off x="4010025" y="5905500"/>
          <a:ext cx="3333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3</xdr:col>
      <xdr:colOff>0</xdr:colOff>
      <xdr:row>39</xdr:row>
      <xdr:rowOff>0</xdr:rowOff>
    </xdr:to>
    <xdr:sp macro="[0]!Info.hinweis">
      <xdr:nvSpPr>
        <xdr:cNvPr id="1" name="Rectangle 13"/>
        <xdr:cNvSpPr>
          <a:spLocks/>
        </xdr:cNvSpPr>
      </xdr:nvSpPr>
      <xdr:spPr>
        <a:xfrm>
          <a:off x="238125" y="1162050"/>
          <a:ext cx="70485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0</xdr:rowOff>
    </xdr:from>
    <xdr:to>
      <xdr:col>8</xdr:col>
      <xdr:colOff>457200</xdr:colOff>
      <xdr:row>38</xdr:row>
      <xdr:rowOff>142875</xdr:rowOff>
    </xdr:to>
    <xdr:sp macro="[0]!Info.hinweis">
      <xdr:nvSpPr>
        <xdr:cNvPr id="2" name="Rectangle 14"/>
        <xdr:cNvSpPr>
          <a:spLocks/>
        </xdr:cNvSpPr>
      </xdr:nvSpPr>
      <xdr:spPr>
        <a:xfrm>
          <a:off x="3314700" y="1000125"/>
          <a:ext cx="9144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5</xdr:col>
      <xdr:colOff>495300</xdr:colOff>
      <xdr:row>45</xdr:row>
      <xdr:rowOff>0</xdr:rowOff>
    </xdr:to>
    <xdr:sp macro="[0]!Info.hinweis">
      <xdr:nvSpPr>
        <xdr:cNvPr id="3" name="Rectangle 15"/>
        <xdr:cNvSpPr>
          <a:spLocks/>
        </xdr:cNvSpPr>
      </xdr:nvSpPr>
      <xdr:spPr>
        <a:xfrm>
          <a:off x="2038350" y="1009650"/>
          <a:ext cx="485775" cy="545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10</xdr:col>
      <xdr:colOff>19050</xdr:colOff>
      <xdr:row>45</xdr:row>
      <xdr:rowOff>9525</xdr:rowOff>
    </xdr:to>
    <xdr:sp macro="[0]!Info.hinweis">
      <xdr:nvSpPr>
        <xdr:cNvPr id="4" name="Rectangle 16"/>
        <xdr:cNvSpPr>
          <a:spLocks/>
        </xdr:cNvSpPr>
      </xdr:nvSpPr>
      <xdr:spPr>
        <a:xfrm>
          <a:off x="4276725" y="58769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50</xdr:row>
      <xdr:rowOff>38100</xdr:rowOff>
    </xdr:from>
    <xdr:to>
      <xdr:col>3</xdr:col>
      <xdr:colOff>371475</xdr:colOff>
      <xdr:row>51</xdr:row>
      <xdr:rowOff>123825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296150"/>
          <a:ext cx="10572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523875</xdr:colOff>
      <xdr:row>50</xdr:row>
      <xdr:rowOff>38100</xdr:rowOff>
    </xdr:from>
    <xdr:to>
      <xdr:col>4</xdr:col>
      <xdr:colOff>371475</xdr:colOff>
      <xdr:row>51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729615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514350</xdr:colOff>
      <xdr:row>50</xdr:row>
      <xdr:rowOff>57150</xdr:rowOff>
    </xdr:from>
    <xdr:to>
      <xdr:col>6</xdr:col>
      <xdr:colOff>419100</xdr:colOff>
      <xdr:row>52</xdr:row>
      <xdr:rowOff>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73152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50</xdr:row>
      <xdr:rowOff>57150</xdr:rowOff>
    </xdr:from>
    <xdr:to>
      <xdr:col>10</xdr:col>
      <xdr:colOff>152400</xdr:colOff>
      <xdr:row>52</xdr:row>
      <xdr:rowOff>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33775" y="73152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45</xdr:row>
      <xdr:rowOff>28575</xdr:rowOff>
    </xdr:to>
    <xdr:sp macro="[0]!Info.hinweis">
      <xdr:nvSpPr>
        <xdr:cNvPr id="9" name="Rectangle 40"/>
        <xdr:cNvSpPr>
          <a:spLocks/>
        </xdr:cNvSpPr>
      </xdr:nvSpPr>
      <xdr:spPr>
        <a:xfrm>
          <a:off x="4276725" y="5591175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3</xdr:col>
      <xdr:colOff>0</xdr:colOff>
      <xdr:row>38</xdr:row>
      <xdr:rowOff>0</xdr:rowOff>
    </xdr:to>
    <xdr:sp macro="[0]!Info.hinweis">
      <xdr:nvSpPr>
        <xdr:cNvPr id="1" name="Rectangle 12"/>
        <xdr:cNvSpPr>
          <a:spLocks/>
        </xdr:cNvSpPr>
      </xdr:nvSpPr>
      <xdr:spPr>
        <a:xfrm>
          <a:off x="238125" y="1047750"/>
          <a:ext cx="695325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7</xdr:row>
      <xdr:rowOff>28575</xdr:rowOff>
    </xdr:from>
    <xdr:to>
      <xdr:col>9</xdr:col>
      <xdr:colOff>0</xdr:colOff>
      <xdr:row>40</xdr:row>
      <xdr:rowOff>28575</xdr:rowOff>
    </xdr:to>
    <xdr:sp macro="[0]!Info.hinweis">
      <xdr:nvSpPr>
        <xdr:cNvPr id="2" name="Rectangle 13"/>
        <xdr:cNvSpPr>
          <a:spLocks/>
        </xdr:cNvSpPr>
      </xdr:nvSpPr>
      <xdr:spPr>
        <a:xfrm>
          <a:off x="3057525" y="1066800"/>
          <a:ext cx="914400" cy="471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5</xdr:col>
      <xdr:colOff>495300</xdr:colOff>
      <xdr:row>45</xdr:row>
      <xdr:rowOff>9525</xdr:rowOff>
    </xdr:to>
    <xdr:sp macro="[0]!Info.hinweis">
      <xdr:nvSpPr>
        <xdr:cNvPr id="3" name="Rectangle 14"/>
        <xdr:cNvSpPr>
          <a:spLocks/>
        </xdr:cNvSpPr>
      </xdr:nvSpPr>
      <xdr:spPr>
        <a:xfrm>
          <a:off x="1971675" y="1047750"/>
          <a:ext cx="485775" cy="544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19050</xdr:colOff>
      <xdr:row>44</xdr:row>
      <xdr:rowOff>9525</xdr:rowOff>
    </xdr:to>
    <xdr:sp macro="[0]!Info.hinweis">
      <xdr:nvSpPr>
        <xdr:cNvPr id="4" name="Rectangle 15"/>
        <xdr:cNvSpPr>
          <a:spLocks/>
        </xdr:cNvSpPr>
      </xdr:nvSpPr>
      <xdr:spPr>
        <a:xfrm>
          <a:off x="3971925" y="5753100"/>
          <a:ext cx="3238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50</xdr:row>
      <xdr:rowOff>38100</xdr:rowOff>
    </xdr:from>
    <xdr:to>
      <xdr:col>3</xdr:col>
      <xdr:colOff>409575</xdr:colOff>
      <xdr:row>51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315200"/>
          <a:ext cx="10858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19050</xdr:colOff>
      <xdr:row>50</xdr:row>
      <xdr:rowOff>38100</xdr:rowOff>
    </xdr:from>
    <xdr:to>
      <xdr:col>4</xdr:col>
      <xdr:colOff>409575</xdr:colOff>
      <xdr:row>51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731520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504825</xdr:colOff>
      <xdr:row>50</xdr:row>
      <xdr:rowOff>47625</xdr:rowOff>
    </xdr:from>
    <xdr:to>
      <xdr:col>7</xdr:col>
      <xdr:colOff>133350</xdr:colOff>
      <xdr:row>51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43100" y="73247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50</xdr:row>
      <xdr:rowOff>47625</xdr:rowOff>
    </xdr:from>
    <xdr:to>
      <xdr:col>10</xdr:col>
      <xdr:colOff>133350</xdr:colOff>
      <xdr:row>51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28975" y="73247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45</xdr:row>
      <xdr:rowOff>28575</xdr:rowOff>
    </xdr:to>
    <xdr:sp macro="[0]!Info.hinweis">
      <xdr:nvSpPr>
        <xdr:cNvPr id="9" name="Rectangle 40"/>
        <xdr:cNvSpPr>
          <a:spLocks/>
        </xdr:cNvSpPr>
      </xdr:nvSpPr>
      <xdr:spPr>
        <a:xfrm>
          <a:off x="3971925" y="5619750"/>
          <a:ext cx="3238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2</xdr:col>
      <xdr:colOff>228600</xdr:colOff>
      <xdr:row>37</xdr:row>
      <xdr:rowOff>133350</xdr:rowOff>
    </xdr:to>
    <xdr:sp macro="[0]!Info.hinweis">
      <xdr:nvSpPr>
        <xdr:cNvPr id="1" name="Rectangle 8"/>
        <xdr:cNvSpPr>
          <a:spLocks/>
        </xdr:cNvSpPr>
      </xdr:nvSpPr>
      <xdr:spPr>
        <a:xfrm>
          <a:off x="257175" y="1047750"/>
          <a:ext cx="695325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0</xdr:rowOff>
    </xdr:from>
    <xdr:to>
      <xdr:col>8</xdr:col>
      <xdr:colOff>485775</xdr:colOff>
      <xdr:row>38</xdr:row>
      <xdr:rowOff>133350</xdr:rowOff>
    </xdr:to>
    <xdr:sp macro="[0]!Info.hinweis">
      <xdr:nvSpPr>
        <xdr:cNvPr id="2" name="Rectangle 9"/>
        <xdr:cNvSpPr>
          <a:spLocks/>
        </xdr:cNvSpPr>
      </xdr:nvSpPr>
      <xdr:spPr>
        <a:xfrm>
          <a:off x="3019425" y="1047750"/>
          <a:ext cx="914400" cy="45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6</xdr:col>
      <xdr:colOff>0</xdr:colOff>
      <xdr:row>45</xdr:row>
      <xdr:rowOff>0</xdr:rowOff>
    </xdr:to>
    <xdr:sp macro="[0]!Info.hinweis">
      <xdr:nvSpPr>
        <xdr:cNvPr id="3" name="Rectangle 10"/>
        <xdr:cNvSpPr>
          <a:spLocks/>
        </xdr:cNvSpPr>
      </xdr:nvSpPr>
      <xdr:spPr>
        <a:xfrm>
          <a:off x="1962150" y="1057275"/>
          <a:ext cx="504825" cy="545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19050</xdr:colOff>
      <xdr:row>44</xdr:row>
      <xdr:rowOff>9525</xdr:rowOff>
    </xdr:to>
    <xdr:sp macro="[0]!Info.hinweis">
      <xdr:nvSpPr>
        <xdr:cNvPr id="4" name="Rectangle 11"/>
        <xdr:cNvSpPr>
          <a:spLocks/>
        </xdr:cNvSpPr>
      </xdr:nvSpPr>
      <xdr:spPr>
        <a:xfrm>
          <a:off x="3952875" y="578167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50</xdr:row>
      <xdr:rowOff>38100</xdr:rowOff>
    </xdr:from>
    <xdr:to>
      <xdr:col>3</xdr:col>
      <xdr:colOff>390525</xdr:colOff>
      <xdr:row>51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343775"/>
          <a:ext cx="10858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50</xdr:row>
      <xdr:rowOff>38100</xdr:rowOff>
    </xdr:from>
    <xdr:to>
      <xdr:col>4</xdr:col>
      <xdr:colOff>390525</xdr:colOff>
      <xdr:row>51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734377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50</xdr:row>
      <xdr:rowOff>47625</xdr:rowOff>
    </xdr:from>
    <xdr:to>
      <xdr:col>7</xdr:col>
      <xdr:colOff>142875</xdr:colOff>
      <xdr:row>51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3575" y="73533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50</xdr:row>
      <xdr:rowOff>47625</xdr:rowOff>
    </xdr:from>
    <xdr:to>
      <xdr:col>10</xdr:col>
      <xdr:colOff>152400</xdr:colOff>
      <xdr:row>51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73533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45</xdr:row>
      <xdr:rowOff>28575</xdr:rowOff>
    </xdr:to>
    <xdr:sp macro="[0]!Info.hinweis">
      <xdr:nvSpPr>
        <xdr:cNvPr id="9" name="Rectangle 40"/>
        <xdr:cNvSpPr>
          <a:spLocks/>
        </xdr:cNvSpPr>
      </xdr:nvSpPr>
      <xdr:spPr>
        <a:xfrm>
          <a:off x="3952875" y="563880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2</xdr:col>
      <xdr:colOff>257175</xdr:colOff>
      <xdr:row>37</xdr:row>
      <xdr:rowOff>133350</xdr:rowOff>
    </xdr:to>
    <xdr:sp macro="[0]!Info.hinweis">
      <xdr:nvSpPr>
        <xdr:cNvPr id="1" name="Rectangle 9"/>
        <xdr:cNvSpPr>
          <a:spLocks/>
        </xdr:cNvSpPr>
      </xdr:nvSpPr>
      <xdr:spPr>
        <a:xfrm>
          <a:off x="247650" y="1038225"/>
          <a:ext cx="70485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9525</xdr:rowOff>
    </xdr:from>
    <xdr:to>
      <xdr:col>8</xdr:col>
      <xdr:colOff>485775</xdr:colOff>
      <xdr:row>39</xdr:row>
      <xdr:rowOff>0</xdr:rowOff>
    </xdr:to>
    <xdr:sp macro="[0]!Info.hinweis">
      <xdr:nvSpPr>
        <xdr:cNvPr id="2" name="Rectangle 10"/>
        <xdr:cNvSpPr>
          <a:spLocks/>
        </xdr:cNvSpPr>
      </xdr:nvSpPr>
      <xdr:spPr>
        <a:xfrm>
          <a:off x="3019425" y="1047750"/>
          <a:ext cx="914400" cy="45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6</xdr:col>
      <xdr:colOff>0</xdr:colOff>
      <xdr:row>45</xdr:row>
      <xdr:rowOff>9525</xdr:rowOff>
    </xdr:to>
    <xdr:sp macro="[0]!Info.hinweis">
      <xdr:nvSpPr>
        <xdr:cNvPr id="3" name="Rectangle 11"/>
        <xdr:cNvSpPr>
          <a:spLocks/>
        </xdr:cNvSpPr>
      </xdr:nvSpPr>
      <xdr:spPr>
        <a:xfrm>
          <a:off x="1952625" y="1047750"/>
          <a:ext cx="495300" cy="544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40</xdr:row>
      <xdr:rowOff>0</xdr:rowOff>
    </xdr:from>
    <xdr:to>
      <xdr:col>10</xdr:col>
      <xdr:colOff>9525</xdr:colOff>
      <xdr:row>43</xdr:row>
      <xdr:rowOff>123825</xdr:rowOff>
    </xdr:to>
    <xdr:sp macro="[0]!Info.hinweis">
      <xdr:nvSpPr>
        <xdr:cNvPr id="4" name="Rectangle 12"/>
        <xdr:cNvSpPr>
          <a:spLocks/>
        </xdr:cNvSpPr>
      </xdr:nvSpPr>
      <xdr:spPr>
        <a:xfrm>
          <a:off x="3943350" y="5753100"/>
          <a:ext cx="3048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50</xdr:row>
      <xdr:rowOff>38100</xdr:rowOff>
    </xdr:from>
    <xdr:to>
      <xdr:col>3</xdr:col>
      <xdr:colOff>390525</xdr:colOff>
      <xdr:row>51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315200"/>
          <a:ext cx="10858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485775</xdr:colOff>
      <xdr:row>50</xdr:row>
      <xdr:rowOff>38100</xdr:rowOff>
    </xdr:from>
    <xdr:to>
      <xdr:col>4</xdr:col>
      <xdr:colOff>381000</xdr:colOff>
      <xdr:row>51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731520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50</xdr:row>
      <xdr:rowOff>47625</xdr:rowOff>
    </xdr:from>
    <xdr:to>
      <xdr:col>7</xdr:col>
      <xdr:colOff>123825</xdr:colOff>
      <xdr:row>51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73247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50</xdr:row>
      <xdr:rowOff>47625</xdr:rowOff>
    </xdr:from>
    <xdr:to>
      <xdr:col>10</xdr:col>
      <xdr:colOff>152400</xdr:colOff>
      <xdr:row>51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73247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45</xdr:row>
      <xdr:rowOff>28575</xdr:rowOff>
    </xdr:to>
    <xdr:sp macro="[0]!Info.hinweis">
      <xdr:nvSpPr>
        <xdr:cNvPr id="9" name="Rectangle 40"/>
        <xdr:cNvSpPr>
          <a:spLocks/>
        </xdr:cNvSpPr>
      </xdr:nvSpPr>
      <xdr:spPr>
        <a:xfrm>
          <a:off x="3952875" y="5619750"/>
          <a:ext cx="3048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3</xdr:col>
      <xdr:colOff>0</xdr:colOff>
      <xdr:row>38</xdr:row>
      <xdr:rowOff>0</xdr:rowOff>
    </xdr:to>
    <xdr:sp macro="[0]!Info.hinweis">
      <xdr:nvSpPr>
        <xdr:cNvPr id="1" name="Rectangle 8"/>
        <xdr:cNvSpPr>
          <a:spLocks/>
        </xdr:cNvSpPr>
      </xdr:nvSpPr>
      <xdr:spPr>
        <a:xfrm>
          <a:off x="238125" y="1076325"/>
          <a:ext cx="695325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28575</xdr:rowOff>
    </xdr:from>
    <xdr:to>
      <xdr:col>8</xdr:col>
      <xdr:colOff>495300</xdr:colOff>
      <xdr:row>38</xdr:row>
      <xdr:rowOff>133350</xdr:rowOff>
    </xdr:to>
    <xdr:sp macro="[0]!Info.hinweis">
      <xdr:nvSpPr>
        <xdr:cNvPr id="2" name="Rectangle 9"/>
        <xdr:cNvSpPr>
          <a:spLocks/>
        </xdr:cNvSpPr>
      </xdr:nvSpPr>
      <xdr:spPr>
        <a:xfrm>
          <a:off x="3028950" y="1095375"/>
          <a:ext cx="9144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7</xdr:row>
      <xdr:rowOff>9525</xdr:rowOff>
    </xdr:from>
    <xdr:to>
      <xdr:col>5</xdr:col>
      <xdr:colOff>476250</xdr:colOff>
      <xdr:row>45</xdr:row>
      <xdr:rowOff>0</xdr:rowOff>
    </xdr:to>
    <xdr:sp macro="[0]!Info.hinweis">
      <xdr:nvSpPr>
        <xdr:cNvPr id="3" name="Rectangle 10"/>
        <xdr:cNvSpPr>
          <a:spLocks/>
        </xdr:cNvSpPr>
      </xdr:nvSpPr>
      <xdr:spPr>
        <a:xfrm>
          <a:off x="1914525" y="1076325"/>
          <a:ext cx="504825" cy="544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38</xdr:row>
      <xdr:rowOff>133350</xdr:rowOff>
    </xdr:from>
    <xdr:to>
      <xdr:col>10</xdr:col>
      <xdr:colOff>0</xdr:colOff>
      <xdr:row>43</xdr:row>
      <xdr:rowOff>123825</xdr:rowOff>
    </xdr:to>
    <xdr:sp macro="[0]!Info.hinweis">
      <xdr:nvSpPr>
        <xdr:cNvPr id="4" name="Rectangle 11"/>
        <xdr:cNvSpPr>
          <a:spLocks/>
        </xdr:cNvSpPr>
      </xdr:nvSpPr>
      <xdr:spPr>
        <a:xfrm>
          <a:off x="3933825" y="56292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50</xdr:row>
      <xdr:rowOff>38100</xdr:rowOff>
    </xdr:from>
    <xdr:to>
      <xdr:col>3</xdr:col>
      <xdr:colOff>409575</xdr:colOff>
      <xdr:row>51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353300"/>
          <a:ext cx="10858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50</xdr:row>
      <xdr:rowOff>38100</xdr:rowOff>
    </xdr:from>
    <xdr:to>
      <xdr:col>4</xdr:col>
      <xdr:colOff>419100</xdr:colOff>
      <xdr:row>51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735330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50</xdr:row>
      <xdr:rowOff>47625</xdr:rowOff>
    </xdr:from>
    <xdr:to>
      <xdr:col>7</xdr:col>
      <xdr:colOff>142875</xdr:colOff>
      <xdr:row>51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3575" y="73628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50</xdr:row>
      <xdr:rowOff>47625</xdr:rowOff>
    </xdr:from>
    <xdr:to>
      <xdr:col>10</xdr:col>
      <xdr:colOff>152400</xdr:colOff>
      <xdr:row>51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73628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45</xdr:row>
      <xdr:rowOff>28575</xdr:rowOff>
    </xdr:to>
    <xdr:sp macro="[0]!Info.hinweis">
      <xdr:nvSpPr>
        <xdr:cNvPr id="9" name="Rectangle 40"/>
        <xdr:cNvSpPr>
          <a:spLocks/>
        </xdr:cNvSpPr>
      </xdr:nvSpPr>
      <xdr:spPr>
        <a:xfrm>
          <a:off x="3952875" y="5648325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17</xdr:row>
      <xdr:rowOff>9525</xdr:rowOff>
    </xdr:from>
    <xdr:to>
      <xdr:col>24</xdr:col>
      <xdr:colOff>0</xdr:colOff>
      <xdr:row>19</xdr:row>
      <xdr:rowOff>9525</xdr:rowOff>
    </xdr:to>
    <xdr:sp>
      <xdr:nvSpPr>
        <xdr:cNvPr id="1" name="KWSchema2"/>
        <xdr:cNvSpPr>
          <a:spLocks/>
        </xdr:cNvSpPr>
      </xdr:nvSpPr>
      <xdr:spPr>
        <a:xfrm>
          <a:off x="17021175" y="2790825"/>
          <a:ext cx="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51</a:t>
          </a:r>
        </a:p>
      </xdr:txBody>
    </xdr:sp>
    <xdr:clientData/>
  </xdr:twoCellAnchor>
  <xdr:twoCellAnchor>
    <xdr:from>
      <xdr:col>24</xdr:col>
      <xdr:colOff>0</xdr:colOff>
      <xdr:row>31</xdr:row>
      <xdr:rowOff>133350</xdr:rowOff>
    </xdr:from>
    <xdr:to>
      <xdr:col>24</xdr:col>
      <xdr:colOff>0</xdr:colOff>
      <xdr:row>33</xdr:row>
      <xdr:rowOff>104775</xdr:rowOff>
    </xdr:to>
    <xdr:sp>
      <xdr:nvSpPr>
        <xdr:cNvPr id="2" name="KWSchema2"/>
        <xdr:cNvSpPr>
          <a:spLocks/>
        </xdr:cNvSpPr>
      </xdr:nvSpPr>
      <xdr:spPr>
        <a:xfrm>
          <a:off x="17021175" y="5314950"/>
          <a:ext cx="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53</a:t>
          </a:r>
        </a:p>
      </xdr:txBody>
    </xdr:sp>
    <xdr:clientData/>
  </xdr:twoCellAnchor>
  <xdr:twoCellAnchor>
    <xdr:from>
      <xdr:col>24</xdr:col>
      <xdr:colOff>0</xdr:colOff>
      <xdr:row>6</xdr:row>
      <xdr:rowOff>9525</xdr:rowOff>
    </xdr:from>
    <xdr:to>
      <xdr:col>24</xdr:col>
      <xdr:colOff>0</xdr:colOff>
      <xdr:row>7</xdr:row>
      <xdr:rowOff>133350</xdr:rowOff>
    </xdr:to>
    <xdr:sp>
      <xdr:nvSpPr>
        <xdr:cNvPr id="3" name="KWSchema2"/>
        <xdr:cNvSpPr>
          <a:spLocks/>
        </xdr:cNvSpPr>
      </xdr:nvSpPr>
      <xdr:spPr>
        <a:xfrm>
          <a:off x="17021175" y="904875"/>
          <a:ext cx="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40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609600</xdr:colOff>
      <xdr:row>3</xdr:row>
      <xdr:rowOff>19050</xdr:rowOff>
    </xdr:from>
    <xdr:to>
      <xdr:col>20</xdr:col>
      <xdr:colOff>571500</xdr:colOff>
      <xdr:row>28</xdr:row>
      <xdr:rowOff>38100</xdr:rowOff>
    </xdr:to>
    <xdr:sp macro="[0]!Info.hinweis">
      <xdr:nvSpPr>
        <xdr:cNvPr id="1" name="Rectangle 1"/>
        <xdr:cNvSpPr>
          <a:spLocks/>
        </xdr:cNvSpPr>
      </xdr:nvSpPr>
      <xdr:spPr>
        <a:xfrm>
          <a:off x="9191625" y="514350"/>
          <a:ext cx="6067425" cy="418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19050</xdr:rowOff>
    </xdr:from>
    <xdr:to>
      <xdr:col>2</xdr:col>
      <xdr:colOff>581025</xdr:colOff>
      <xdr:row>31</xdr:row>
      <xdr:rowOff>133350</xdr:rowOff>
    </xdr:to>
    <xdr:sp macro="[0]!Info.hinweis">
      <xdr:nvSpPr>
        <xdr:cNvPr id="1" name="Rectangle 38"/>
        <xdr:cNvSpPr>
          <a:spLocks/>
        </xdr:cNvSpPr>
      </xdr:nvSpPr>
      <xdr:spPr>
        <a:xfrm>
          <a:off x="1438275" y="885825"/>
          <a:ext cx="581025" cy="342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19050</xdr:rowOff>
    </xdr:from>
    <xdr:to>
      <xdr:col>4</xdr:col>
      <xdr:colOff>47625</xdr:colOff>
      <xdr:row>36</xdr:row>
      <xdr:rowOff>9525</xdr:rowOff>
    </xdr:to>
    <xdr:sp>
      <xdr:nvSpPr>
        <xdr:cNvPr id="2" name="Rectangle 38"/>
        <xdr:cNvSpPr>
          <a:spLocks/>
        </xdr:cNvSpPr>
      </xdr:nvSpPr>
      <xdr:spPr>
        <a:xfrm>
          <a:off x="219075" y="4524375"/>
          <a:ext cx="24860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24</xdr:row>
      <xdr:rowOff>142875</xdr:rowOff>
    </xdr:from>
    <xdr:to>
      <xdr:col>2</xdr:col>
      <xdr:colOff>0</xdr:colOff>
      <xdr:row>34</xdr:row>
      <xdr:rowOff>76200</xdr:rowOff>
    </xdr:to>
    <xdr:sp>
      <xdr:nvSpPr>
        <xdr:cNvPr id="1" name="Text 2"/>
        <xdr:cNvSpPr txBox="1">
          <a:spLocks noChangeArrowheads="1"/>
        </xdr:cNvSpPr>
      </xdr:nvSpPr>
      <xdr:spPr>
        <a:xfrm>
          <a:off x="323850" y="4400550"/>
          <a:ext cx="581025" cy="1562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Abzüge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Arbeitnehmeranteil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161925</xdr:colOff>
      <xdr:row>41</xdr:row>
      <xdr:rowOff>0</xdr:rowOff>
    </xdr:from>
    <xdr:to>
      <xdr:col>1</xdr:col>
      <xdr:colOff>628650</xdr:colOff>
      <xdr:row>47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9100" y="7019925"/>
          <a:ext cx="466725" cy="971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Steuerfreie Bezüge</a:t>
          </a:r>
        </a:p>
      </xdr:txBody>
    </xdr:sp>
    <xdr:clientData/>
  </xdr:twoCellAnchor>
  <xdr:twoCellAnchor>
    <xdr:from>
      <xdr:col>4</xdr:col>
      <xdr:colOff>438150</xdr:colOff>
      <xdr:row>0</xdr:row>
      <xdr:rowOff>114300</xdr:rowOff>
    </xdr:from>
    <xdr:to>
      <xdr:col>6</xdr:col>
      <xdr:colOff>1000125</xdr:colOff>
      <xdr:row>3</xdr:row>
      <xdr:rowOff>152400</xdr:rowOff>
    </xdr:to>
    <xdr:sp>
      <xdr:nvSpPr>
        <xdr:cNvPr id="3" name="Text 5"/>
        <xdr:cNvSpPr txBox="1">
          <a:spLocks noChangeArrowheads="1"/>
        </xdr:cNvSpPr>
      </xdr:nvSpPr>
      <xdr:spPr>
        <a:xfrm>
          <a:off x="3152775" y="114300"/>
          <a:ext cx="21431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Firmenstempel</a:t>
          </a:r>
        </a:p>
      </xdr:txBody>
    </xdr:sp>
    <xdr:clientData/>
  </xdr:twoCellAnchor>
  <xdr:twoCellAnchor>
    <xdr:from>
      <xdr:col>1</xdr:col>
      <xdr:colOff>171450</xdr:colOff>
      <xdr:row>12</xdr:row>
      <xdr:rowOff>19050</xdr:rowOff>
    </xdr:from>
    <xdr:to>
      <xdr:col>1</xdr:col>
      <xdr:colOff>638175</xdr:colOff>
      <xdr:row>22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428625" y="2247900"/>
          <a:ext cx="466725" cy="1600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Steuerpflichtiges Brutto</a:t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7</xdr:col>
      <xdr:colOff>9525</xdr:colOff>
      <xdr:row>32</xdr:row>
      <xdr:rowOff>0</xdr:rowOff>
    </xdr:to>
    <xdr:sp macro="[0]!Info.hinweis">
      <xdr:nvSpPr>
        <xdr:cNvPr id="5" name="Rectangle 38"/>
        <xdr:cNvSpPr>
          <a:spLocks/>
        </xdr:cNvSpPr>
      </xdr:nvSpPr>
      <xdr:spPr>
        <a:xfrm>
          <a:off x="4295775" y="4429125"/>
          <a:ext cx="10477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809625</xdr:colOff>
      <xdr:row>36</xdr:row>
      <xdr:rowOff>133350</xdr:rowOff>
    </xdr:from>
    <xdr:to>
      <xdr:col>7</xdr:col>
      <xdr:colOff>0</xdr:colOff>
      <xdr:row>42</xdr:row>
      <xdr:rowOff>9525</xdr:rowOff>
    </xdr:to>
    <xdr:sp macro="[0]!Info.hinweis">
      <xdr:nvSpPr>
        <xdr:cNvPr id="6" name="Rectangle 38"/>
        <xdr:cNvSpPr>
          <a:spLocks/>
        </xdr:cNvSpPr>
      </xdr:nvSpPr>
      <xdr:spPr>
        <a:xfrm>
          <a:off x="4286250" y="6343650"/>
          <a:ext cx="1047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16</xdr:row>
      <xdr:rowOff>152400</xdr:rowOff>
    </xdr:from>
    <xdr:to>
      <xdr:col>6</xdr:col>
      <xdr:colOff>1028700</xdr:colOff>
      <xdr:row>21</xdr:row>
      <xdr:rowOff>9525</xdr:rowOff>
    </xdr:to>
    <xdr:sp macro="[0]!Info.hinweis">
      <xdr:nvSpPr>
        <xdr:cNvPr id="7" name="Rectangle 38"/>
        <xdr:cNvSpPr>
          <a:spLocks/>
        </xdr:cNvSpPr>
      </xdr:nvSpPr>
      <xdr:spPr>
        <a:xfrm>
          <a:off x="4276725" y="3028950"/>
          <a:ext cx="10477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36</xdr:row>
      <xdr:rowOff>19050</xdr:rowOff>
    </xdr:from>
    <xdr:to>
      <xdr:col>5</xdr:col>
      <xdr:colOff>66675</xdr:colOff>
      <xdr:row>40</xdr:row>
      <xdr:rowOff>9525</xdr:rowOff>
    </xdr:to>
    <xdr:sp macro="[0]!Info.hinweis">
      <xdr:nvSpPr>
        <xdr:cNvPr id="8" name="Rectangle 38"/>
        <xdr:cNvSpPr>
          <a:spLocks/>
        </xdr:cNvSpPr>
      </xdr:nvSpPr>
      <xdr:spPr>
        <a:xfrm>
          <a:off x="866775" y="6229350"/>
          <a:ext cx="26765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47</xdr:row>
      <xdr:rowOff>123825</xdr:rowOff>
    </xdr:from>
    <xdr:to>
      <xdr:col>7</xdr:col>
      <xdr:colOff>19050</xdr:colOff>
      <xdr:row>52</xdr:row>
      <xdr:rowOff>38100</xdr:rowOff>
    </xdr:to>
    <xdr:sp macro="[0]!Info.hinweis">
      <xdr:nvSpPr>
        <xdr:cNvPr id="9" name="Rectangle 38"/>
        <xdr:cNvSpPr>
          <a:spLocks/>
        </xdr:cNvSpPr>
      </xdr:nvSpPr>
      <xdr:spPr>
        <a:xfrm>
          <a:off x="4305300" y="8115300"/>
          <a:ext cx="10477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809625</xdr:colOff>
      <xdr:row>22</xdr:row>
      <xdr:rowOff>19050</xdr:rowOff>
    </xdr:from>
    <xdr:to>
      <xdr:col>7</xdr:col>
      <xdr:colOff>0</xdr:colOff>
      <xdr:row>23</xdr:row>
      <xdr:rowOff>142875</xdr:rowOff>
    </xdr:to>
    <xdr:sp macro="[0]!Info.hinweis">
      <xdr:nvSpPr>
        <xdr:cNvPr id="10" name="Rectangle 38"/>
        <xdr:cNvSpPr>
          <a:spLocks/>
        </xdr:cNvSpPr>
      </xdr:nvSpPr>
      <xdr:spPr>
        <a:xfrm>
          <a:off x="4286250" y="3867150"/>
          <a:ext cx="1047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24</xdr:row>
      <xdr:rowOff>85725</xdr:rowOff>
    </xdr:from>
    <xdr:to>
      <xdr:col>5</xdr:col>
      <xdr:colOff>752475</xdr:colOff>
      <xdr:row>28</xdr:row>
      <xdr:rowOff>9525</xdr:rowOff>
    </xdr:to>
    <xdr:sp macro="[0]!Info.hinweis">
      <xdr:nvSpPr>
        <xdr:cNvPr id="11" name="Rectangle 38"/>
        <xdr:cNvSpPr>
          <a:spLocks/>
        </xdr:cNvSpPr>
      </xdr:nvSpPr>
      <xdr:spPr>
        <a:xfrm>
          <a:off x="838200" y="4343400"/>
          <a:ext cx="33909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66675</xdr:colOff>
      <xdr:row>53</xdr:row>
      <xdr:rowOff>47625</xdr:rowOff>
    </xdr:from>
    <xdr:to>
      <xdr:col>5</xdr:col>
      <xdr:colOff>628650</xdr:colOff>
      <xdr:row>55</xdr:row>
      <xdr:rowOff>38100</xdr:rowOff>
    </xdr:to>
    <xdr:pic>
      <xdr:nvPicPr>
        <xdr:cNvPr id="12" name="cmd_pr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029700"/>
          <a:ext cx="132397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371475</xdr:colOff>
      <xdr:row>53</xdr:row>
      <xdr:rowOff>57150</xdr:rowOff>
    </xdr:from>
    <xdr:to>
      <xdr:col>3</xdr:col>
      <xdr:colOff>381000</xdr:colOff>
      <xdr:row>55</xdr:row>
      <xdr:rowOff>28575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9039225"/>
          <a:ext cx="12763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6</xdr:row>
      <xdr:rowOff>314325</xdr:rowOff>
    </xdr:from>
    <xdr:to>
      <xdr:col>3</xdr:col>
      <xdr:colOff>0</xdr:colOff>
      <xdr:row>37</xdr:row>
      <xdr:rowOff>123825</xdr:rowOff>
    </xdr:to>
    <xdr:sp macro="[0]!Info.hinweis">
      <xdr:nvSpPr>
        <xdr:cNvPr id="1" name="Rectangle 37"/>
        <xdr:cNvSpPr>
          <a:spLocks/>
        </xdr:cNvSpPr>
      </xdr:nvSpPr>
      <xdr:spPr>
        <a:xfrm>
          <a:off x="228600" y="1057275"/>
          <a:ext cx="72390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7</xdr:row>
      <xdr:rowOff>9525</xdr:rowOff>
    </xdr:from>
    <xdr:to>
      <xdr:col>2</xdr:col>
      <xdr:colOff>9525</xdr:colOff>
      <xdr:row>47</xdr:row>
      <xdr:rowOff>19050</xdr:rowOff>
    </xdr:to>
    <xdr:sp macro="[0]!Info.hinweis">
      <xdr:nvSpPr>
        <xdr:cNvPr id="2" name="Rectangle 38"/>
        <xdr:cNvSpPr>
          <a:spLocks/>
        </xdr:cNvSpPr>
      </xdr:nvSpPr>
      <xdr:spPr>
        <a:xfrm>
          <a:off x="190500" y="1076325"/>
          <a:ext cx="514350" cy="586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314325</xdr:rowOff>
    </xdr:from>
    <xdr:to>
      <xdr:col>8</xdr:col>
      <xdr:colOff>457200</xdr:colOff>
      <xdr:row>39</xdr:row>
      <xdr:rowOff>114300</xdr:rowOff>
    </xdr:to>
    <xdr:sp macro="[0]!Info.hinweis">
      <xdr:nvSpPr>
        <xdr:cNvPr id="3" name="Rectangle 39"/>
        <xdr:cNvSpPr>
          <a:spLocks/>
        </xdr:cNvSpPr>
      </xdr:nvSpPr>
      <xdr:spPr>
        <a:xfrm>
          <a:off x="3028950" y="1057275"/>
          <a:ext cx="914400" cy="471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45</xdr:row>
      <xdr:rowOff>28575</xdr:rowOff>
    </xdr:to>
    <xdr:sp macro="[0]!Info.hinweis">
      <xdr:nvSpPr>
        <xdr:cNvPr id="4" name="Rectangle 40"/>
        <xdr:cNvSpPr>
          <a:spLocks/>
        </xdr:cNvSpPr>
      </xdr:nvSpPr>
      <xdr:spPr>
        <a:xfrm>
          <a:off x="3990975" y="5667375"/>
          <a:ext cx="3048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50</xdr:row>
      <xdr:rowOff>57150</xdr:rowOff>
    </xdr:from>
    <xdr:to>
      <xdr:col>3</xdr:col>
      <xdr:colOff>266700</xdr:colOff>
      <xdr:row>51</xdr:row>
      <xdr:rowOff>114300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467600"/>
          <a:ext cx="9715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466725</xdr:colOff>
      <xdr:row>50</xdr:row>
      <xdr:rowOff>57150</xdr:rowOff>
    </xdr:from>
    <xdr:to>
      <xdr:col>4</xdr:col>
      <xdr:colOff>342900</xdr:colOff>
      <xdr:row>52</xdr:row>
      <xdr:rowOff>0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746760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409575</xdr:colOff>
      <xdr:row>50</xdr:row>
      <xdr:rowOff>76200</xdr:rowOff>
    </xdr:from>
    <xdr:to>
      <xdr:col>7</xdr:col>
      <xdr:colOff>47625</xdr:colOff>
      <xdr:row>52</xdr:row>
      <xdr:rowOff>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76425" y="7486650"/>
          <a:ext cx="11811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114300</xdr:colOff>
      <xdr:row>50</xdr:row>
      <xdr:rowOff>66675</xdr:rowOff>
    </xdr:from>
    <xdr:to>
      <xdr:col>10</xdr:col>
      <xdr:colOff>57150</xdr:colOff>
      <xdr:row>51</xdr:row>
      <xdr:rowOff>152400</xdr:rowOff>
    </xdr:to>
    <xdr:pic>
      <xdr:nvPicPr>
        <xdr:cNvPr id="8" name="cmd_gehalt_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24200" y="7477125"/>
          <a:ext cx="12096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323850</xdr:rowOff>
    </xdr:from>
    <xdr:to>
      <xdr:col>3</xdr:col>
      <xdr:colOff>38100</xdr:colOff>
      <xdr:row>37</xdr:row>
      <xdr:rowOff>123825</xdr:rowOff>
    </xdr:to>
    <xdr:sp macro="[0]!Info.hinweis">
      <xdr:nvSpPr>
        <xdr:cNvPr id="1" name="Rectangle 8"/>
        <xdr:cNvSpPr>
          <a:spLocks/>
        </xdr:cNvSpPr>
      </xdr:nvSpPr>
      <xdr:spPr>
        <a:xfrm>
          <a:off x="266700" y="1076325"/>
          <a:ext cx="74295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7</xdr:row>
      <xdr:rowOff>0</xdr:rowOff>
    </xdr:from>
    <xdr:to>
      <xdr:col>8</xdr:col>
      <xdr:colOff>485775</xdr:colOff>
      <xdr:row>38</xdr:row>
      <xdr:rowOff>133350</xdr:rowOff>
    </xdr:to>
    <xdr:sp macro="[0]!Info.hinweis">
      <xdr:nvSpPr>
        <xdr:cNvPr id="2" name="Rectangle 9"/>
        <xdr:cNvSpPr>
          <a:spLocks/>
        </xdr:cNvSpPr>
      </xdr:nvSpPr>
      <xdr:spPr>
        <a:xfrm>
          <a:off x="3019425" y="1085850"/>
          <a:ext cx="962025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7</xdr:row>
      <xdr:rowOff>19050</xdr:rowOff>
    </xdr:from>
    <xdr:to>
      <xdr:col>5</xdr:col>
      <xdr:colOff>476250</xdr:colOff>
      <xdr:row>45</xdr:row>
      <xdr:rowOff>19050</xdr:rowOff>
    </xdr:to>
    <xdr:sp macro="[0]!Info.hinweis">
      <xdr:nvSpPr>
        <xdr:cNvPr id="3" name="Rectangle 10"/>
        <xdr:cNvSpPr>
          <a:spLocks/>
        </xdr:cNvSpPr>
      </xdr:nvSpPr>
      <xdr:spPr>
        <a:xfrm>
          <a:off x="1952625" y="1104900"/>
          <a:ext cx="504825" cy="546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19050</xdr:colOff>
      <xdr:row>43</xdr:row>
      <xdr:rowOff>19050</xdr:rowOff>
    </xdr:to>
    <xdr:sp macro="[0]!Info.hinweis">
      <xdr:nvSpPr>
        <xdr:cNvPr id="4" name="Rectangle 11"/>
        <xdr:cNvSpPr>
          <a:spLocks/>
        </xdr:cNvSpPr>
      </xdr:nvSpPr>
      <xdr:spPr>
        <a:xfrm>
          <a:off x="4000500" y="5676900"/>
          <a:ext cx="3333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50</xdr:row>
      <xdr:rowOff>57150</xdr:rowOff>
    </xdr:from>
    <xdr:to>
      <xdr:col>3</xdr:col>
      <xdr:colOff>352425</xdr:colOff>
      <xdr:row>51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4199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466725</xdr:colOff>
      <xdr:row>50</xdr:row>
      <xdr:rowOff>57150</xdr:rowOff>
    </xdr:from>
    <xdr:to>
      <xdr:col>4</xdr:col>
      <xdr:colOff>352425</xdr:colOff>
      <xdr:row>52</xdr:row>
      <xdr:rowOff>0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741997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428625</xdr:colOff>
      <xdr:row>50</xdr:row>
      <xdr:rowOff>66675</xdr:rowOff>
    </xdr:from>
    <xdr:to>
      <xdr:col>7</xdr:col>
      <xdr:colOff>66675</xdr:colOff>
      <xdr:row>52</xdr:row>
      <xdr:rowOff>19050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7429500"/>
          <a:ext cx="11811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133350</xdr:colOff>
      <xdr:row>50</xdr:row>
      <xdr:rowOff>57150</xdr:rowOff>
    </xdr:from>
    <xdr:to>
      <xdr:col>10</xdr:col>
      <xdr:colOff>123825</xdr:colOff>
      <xdr:row>52</xdr:row>
      <xdr:rowOff>19050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7419975"/>
          <a:ext cx="12858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45</xdr:row>
      <xdr:rowOff>28575</xdr:rowOff>
    </xdr:to>
    <xdr:sp macro="[0]!Info.hinweis">
      <xdr:nvSpPr>
        <xdr:cNvPr id="9" name="Rectangle 40"/>
        <xdr:cNvSpPr>
          <a:spLocks/>
        </xdr:cNvSpPr>
      </xdr:nvSpPr>
      <xdr:spPr>
        <a:xfrm>
          <a:off x="4000500" y="5686425"/>
          <a:ext cx="3333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45</xdr:row>
      <xdr:rowOff>28575</xdr:rowOff>
    </xdr:to>
    <xdr:sp macro="[0]!Info.hinweis">
      <xdr:nvSpPr>
        <xdr:cNvPr id="10" name="Rectangle 40"/>
        <xdr:cNvSpPr>
          <a:spLocks/>
        </xdr:cNvSpPr>
      </xdr:nvSpPr>
      <xdr:spPr>
        <a:xfrm>
          <a:off x="4000500" y="5686425"/>
          <a:ext cx="3333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7</xdr:row>
      <xdr:rowOff>0</xdr:rowOff>
    </xdr:from>
    <xdr:to>
      <xdr:col>3</xdr:col>
      <xdr:colOff>0</xdr:colOff>
      <xdr:row>37</xdr:row>
      <xdr:rowOff>133350</xdr:rowOff>
    </xdr:to>
    <xdr:sp macro="[0]!Info.hinweis">
      <xdr:nvSpPr>
        <xdr:cNvPr id="1" name="Rectangle 9"/>
        <xdr:cNvSpPr>
          <a:spLocks/>
        </xdr:cNvSpPr>
      </xdr:nvSpPr>
      <xdr:spPr>
        <a:xfrm>
          <a:off x="228600" y="1057275"/>
          <a:ext cx="733425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6</xdr:row>
      <xdr:rowOff>247650</xdr:rowOff>
    </xdr:from>
    <xdr:to>
      <xdr:col>8</xdr:col>
      <xdr:colOff>495300</xdr:colOff>
      <xdr:row>39</xdr:row>
      <xdr:rowOff>95250</xdr:rowOff>
    </xdr:to>
    <xdr:sp macro="[0]!Info.hinweis">
      <xdr:nvSpPr>
        <xdr:cNvPr id="2" name="Rectangle 10"/>
        <xdr:cNvSpPr>
          <a:spLocks/>
        </xdr:cNvSpPr>
      </xdr:nvSpPr>
      <xdr:spPr>
        <a:xfrm>
          <a:off x="3076575" y="990600"/>
          <a:ext cx="914400" cy="474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7</xdr:row>
      <xdr:rowOff>19050</xdr:rowOff>
    </xdr:from>
    <xdr:to>
      <xdr:col>1</xdr:col>
      <xdr:colOff>476250</xdr:colOff>
      <xdr:row>45</xdr:row>
      <xdr:rowOff>28575</xdr:rowOff>
    </xdr:to>
    <xdr:sp macro="[0]!Info.hinweis">
      <xdr:nvSpPr>
        <xdr:cNvPr id="3" name="Rectangle 11"/>
        <xdr:cNvSpPr>
          <a:spLocks/>
        </xdr:cNvSpPr>
      </xdr:nvSpPr>
      <xdr:spPr>
        <a:xfrm>
          <a:off x="200025" y="1076325"/>
          <a:ext cx="514350" cy="547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43</xdr:row>
      <xdr:rowOff>19050</xdr:rowOff>
    </xdr:to>
    <xdr:sp macro="[0]!Info.hinweis">
      <xdr:nvSpPr>
        <xdr:cNvPr id="4" name="Rectangle 12"/>
        <xdr:cNvSpPr>
          <a:spLocks/>
        </xdr:cNvSpPr>
      </xdr:nvSpPr>
      <xdr:spPr>
        <a:xfrm>
          <a:off x="4000500" y="5648325"/>
          <a:ext cx="3333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50</xdr:row>
      <xdr:rowOff>38100</xdr:rowOff>
    </xdr:from>
    <xdr:to>
      <xdr:col>3</xdr:col>
      <xdr:colOff>361950</xdr:colOff>
      <xdr:row>51</xdr:row>
      <xdr:rowOff>123825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3533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50</xdr:row>
      <xdr:rowOff>38100</xdr:rowOff>
    </xdr:from>
    <xdr:to>
      <xdr:col>4</xdr:col>
      <xdr:colOff>390525</xdr:colOff>
      <xdr:row>51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735330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504825</xdr:colOff>
      <xdr:row>50</xdr:row>
      <xdr:rowOff>38100</xdr:rowOff>
    </xdr:from>
    <xdr:to>
      <xdr:col>7</xdr:col>
      <xdr:colOff>142875</xdr:colOff>
      <xdr:row>51</xdr:row>
      <xdr:rowOff>142875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73533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50</xdr:row>
      <xdr:rowOff>28575</xdr:rowOff>
    </xdr:from>
    <xdr:to>
      <xdr:col>10</xdr:col>
      <xdr:colOff>123825</xdr:colOff>
      <xdr:row>51</xdr:row>
      <xdr:rowOff>133350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57550" y="73437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45</xdr:row>
      <xdr:rowOff>28575</xdr:rowOff>
    </xdr:to>
    <xdr:sp macro="[0]!Info.hinweis">
      <xdr:nvSpPr>
        <xdr:cNvPr id="9" name="Rectangle 40"/>
        <xdr:cNvSpPr>
          <a:spLocks/>
        </xdr:cNvSpPr>
      </xdr:nvSpPr>
      <xdr:spPr>
        <a:xfrm>
          <a:off x="4000500" y="5648325"/>
          <a:ext cx="3333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3</xdr:col>
      <xdr:colOff>9525</xdr:colOff>
      <xdr:row>37</xdr:row>
      <xdr:rowOff>133350</xdr:rowOff>
    </xdr:to>
    <xdr:sp macro="[0]!Info.hinweis">
      <xdr:nvSpPr>
        <xdr:cNvPr id="1" name="Rectangle 11"/>
        <xdr:cNvSpPr>
          <a:spLocks/>
        </xdr:cNvSpPr>
      </xdr:nvSpPr>
      <xdr:spPr>
        <a:xfrm>
          <a:off x="238125" y="1009650"/>
          <a:ext cx="72390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9525</xdr:rowOff>
    </xdr:from>
    <xdr:to>
      <xdr:col>8</xdr:col>
      <xdr:colOff>476250</xdr:colOff>
      <xdr:row>39</xdr:row>
      <xdr:rowOff>0</xdr:rowOff>
    </xdr:to>
    <xdr:sp macro="[0]!Info.hinweis">
      <xdr:nvSpPr>
        <xdr:cNvPr id="2" name="Rectangle 12"/>
        <xdr:cNvSpPr>
          <a:spLocks/>
        </xdr:cNvSpPr>
      </xdr:nvSpPr>
      <xdr:spPr>
        <a:xfrm>
          <a:off x="3086100" y="1019175"/>
          <a:ext cx="904875" cy="458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6</xdr:row>
      <xdr:rowOff>304800</xdr:rowOff>
    </xdr:from>
    <xdr:to>
      <xdr:col>1</xdr:col>
      <xdr:colOff>447675</xdr:colOff>
      <xdr:row>46</xdr:row>
      <xdr:rowOff>38100</xdr:rowOff>
    </xdr:to>
    <xdr:sp macro="[0]!Info.hinweis">
      <xdr:nvSpPr>
        <xdr:cNvPr id="3" name="Rectangle 13"/>
        <xdr:cNvSpPr>
          <a:spLocks/>
        </xdr:cNvSpPr>
      </xdr:nvSpPr>
      <xdr:spPr>
        <a:xfrm>
          <a:off x="190500" y="990600"/>
          <a:ext cx="495300" cy="567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19050</xdr:colOff>
      <xdr:row>44</xdr:row>
      <xdr:rowOff>9525</xdr:rowOff>
    </xdr:to>
    <xdr:sp macro="[0]!Info.hinweis">
      <xdr:nvSpPr>
        <xdr:cNvPr id="4" name="Rectangle 14"/>
        <xdr:cNvSpPr>
          <a:spLocks/>
        </xdr:cNvSpPr>
      </xdr:nvSpPr>
      <xdr:spPr>
        <a:xfrm>
          <a:off x="4019550" y="5753100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50</xdr:row>
      <xdr:rowOff>38100</xdr:rowOff>
    </xdr:from>
    <xdr:to>
      <xdr:col>3</xdr:col>
      <xdr:colOff>276225</xdr:colOff>
      <xdr:row>51</xdr:row>
      <xdr:rowOff>95250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315200"/>
          <a:ext cx="9906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466725</xdr:colOff>
      <xdr:row>50</xdr:row>
      <xdr:rowOff>38100</xdr:rowOff>
    </xdr:from>
    <xdr:to>
      <xdr:col>4</xdr:col>
      <xdr:colOff>342900</xdr:colOff>
      <xdr:row>51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731520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428625</xdr:colOff>
      <xdr:row>50</xdr:row>
      <xdr:rowOff>47625</xdr:rowOff>
    </xdr:from>
    <xdr:to>
      <xdr:col>7</xdr:col>
      <xdr:colOff>38100</xdr:colOff>
      <xdr:row>51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73247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142875</xdr:colOff>
      <xdr:row>50</xdr:row>
      <xdr:rowOff>47625</xdr:rowOff>
    </xdr:from>
    <xdr:to>
      <xdr:col>10</xdr:col>
      <xdr:colOff>161925</xdr:colOff>
      <xdr:row>51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7324725"/>
          <a:ext cx="12858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45</xdr:row>
      <xdr:rowOff>28575</xdr:rowOff>
    </xdr:to>
    <xdr:sp macro="[0]!Info.hinweis">
      <xdr:nvSpPr>
        <xdr:cNvPr id="9" name="Rectangle 40"/>
        <xdr:cNvSpPr>
          <a:spLocks/>
        </xdr:cNvSpPr>
      </xdr:nvSpPr>
      <xdr:spPr>
        <a:xfrm>
          <a:off x="4019550" y="5610225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uer@parmentier.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www.parmentier.de/steuer/stundenabrechnung(1.0).xls" TargetMode="Externa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-l-s.de/html/downloads.html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P48"/>
  <sheetViews>
    <sheetView zoomScale="95" zoomScaleNormal="95" zoomScalePageLayoutView="0" workbookViewId="0" topLeftCell="A1">
      <selection activeCell="H34" sqref="H34"/>
    </sheetView>
  </sheetViews>
  <sheetFormatPr defaultColWidth="0" defaultRowHeight="12.75" zeroHeight="1"/>
  <cols>
    <col min="1" max="1" width="7.8515625" style="105" customWidth="1"/>
    <col min="2" max="2" width="55.140625" style="1" customWidth="1"/>
    <col min="3" max="3" width="11.421875" style="1" customWidth="1"/>
    <col min="4" max="4" width="4.140625" style="1" customWidth="1"/>
    <col min="5" max="5" width="3.57421875" style="105" customWidth="1"/>
    <col min="6" max="6" width="10.140625" style="1" customWidth="1"/>
    <col min="7" max="7" width="10.421875" style="1" customWidth="1"/>
    <col min="8" max="8" width="10.8515625" style="1" customWidth="1"/>
    <col min="9" max="9" width="7.00390625" style="105" customWidth="1"/>
    <col min="10" max="10" width="11.7109375" style="105" customWidth="1"/>
    <col min="11" max="11" width="11.421875" style="105" customWidth="1"/>
    <col min="12" max="12" width="5.28125" style="105" customWidth="1"/>
    <col min="13" max="13" width="2.28125" style="1" customWidth="1"/>
    <col min="14" max="14" width="4.8515625" style="105" customWidth="1"/>
    <col min="15" max="15" width="17.28125" style="105" customWidth="1"/>
    <col min="16" max="16" width="12.28125" style="105" customWidth="1"/>
    <col min="17" max="17" width="11.421875" style="105" customWidth="1"/>
    <col min="18" max="255" width="0" style="1" hidden="1" customWidth="1"/>
    <col min="256" max="16384" width="7.421875" style="1" hidden="1" customWidth="1"/>
  </cols>
  <sheetData>
    <row r="1" spans="1:13" ht="13.5" customHeight="1">
      <c r="A1" s="104"/>
      <c r="B1" s="105"/>
      <c r="C1" s="105"/>
      <c r="D1" s="105"/>
      <c r="F1" s="217" t="s">
        <v>155</v>
      </c>
      <c r="G1" s="218"/>
      <c r="H1" s="218"/>
      <c r="I1" s="106"/>
      <c r="J1" s="107"/>
      <c r="K1" s="617"/>
      <c r="L1" s="108"/>
      <c r="M1" s="105"/>
    </row>
    <row r="2" spans="1:13" ht="12.75" customHeight="1">
      <c r="A2" s="109"/>
      <c r="B2" s="110" t="s">
        <v>57</v>
      </c>
      <c r="C2" s="106"/>
      <c r="D2" s="106"/>
      <c r="E2" s="121"/>
      <c r="F2" s="107"/>
      <c r="G2" s="118"/>
      <c r="H2" s="118"/>
      <c r="I2" s="112"/>
      <c r="J2" s="107"/>
      <c r="K2" s="602"/>
      <c r="L2" s="113"/>
      <c r="M2" s="105"/>
    </row>
    <row r="3" spans="1:16" ht="12" customHeight="1">
      <c r="A3" s="114"/>
      <c r="B3" s="609">
        <v>2018</v>
      </c>
      <c r="C3" s="611" t="s">
        <v>150</v>
      </c>
      <c r="D3" s="106"/>
      <c r="F3" s="532" t="s">
        <v>161</v>
      </c>
      <c r="G3" s="533" t="s">
        <v>156</v>
      </c>
      <c r="H3" s="534">
        <v>8</v>
      </c>
      <c r="I3" s="112"/>
      <c r="J3" s="118"/>
      <c r="K3" s="119"/>
      <c r="L3" s="119"/>
      <c r="M3" s="120"/>
      <c r="O3" s="121"/>
      <c r="P3" s="121"/>
    </row>
    <row r="4" spans="1:16" ht="12.75">
      <c r="A4" s="114"/>
      <c r="B4" s="610"/>
      <c r="C4" s="612"/>
      <c r="D4" s="105"/>
      <c r="F4" s="535" t="s">
        <v>162</v>
      </c>
      <c r="G4" s="229" t="s">
        <v>157</v>
      </c>
      <c r="H4" s="175">
        <v>8</v>
      </c>
      <c r="I4" s="107"/>
      <c r="J4" s="118"/>
      <c r="K4" s="119"/>
      <c r="L4" s="119"/>
      <c r="M4" s="120"/>
      <c r="O4" s="121"/>
      <c r="P4" s="121"/>
    </row>
    <row r="5" spans="1:16" ht="12.75">
      <c r="A5" s="114"/>
      <c r="B5" s="186" t="s">
        <v>164</v>
      </c>
      <c r="C5" s="121"/>
      <c r="D5" s="121"/>
      <c r="F5" s="536"/>
      <c r="G5" s="229" t="s">
        <v>158</v>
      </c>
      <c r="H5" s="175">
        <v>8</v>
      </c>
      <c r="I5" s="118"/>
      <c r="J5" s="122" t="s">
        <v>182</v>
      </c>
      <c r="K5" s="123"/>
      <c r="L5" s="123"/>
      <c r="M5" s="120"/>
      <c r="O5" s="121"/>
      <c r="P5" s="124"/>
    </row>
    <row r="6" spans="1:16" ht="13.5">
      <c r="A6" s="187" t="s">
        <v>142</v>
      </c>
      <c r="B6" s="348" t="s">
        <v>37</v>
      </c>
      <c r="C6" s="121"/>
      <c r="D6" s="121"/>
      <c r="F6" s="536"/>
      <c r="G6" s="229" t="s">
        <v>159</v>
      </c>
      <c r="H6" s="175">
        <v>8</v>
      </c>
      <c r="I6" s="118"/>
      <c r="J6" s="118"/>
      <c r="K6" s="119"/>
      <c r="L6" s="119"/>
      <c r="M6" s="125"/>
      <c r="O6" s="126"/>
      <c r="P6" s="127"/>
    </row>
    <row r="7" spans="1:16" ht="13.5">
      <c r="A7" s="184" t="s">
        <v>139</v>
      </c>
      <c r="B7" s="348" t="s">
        <v>137</v>
      </c>
      <c r="C7" s="128"/>
      <c r="D7" s="128"/>
      <c r="E7" s="115"/>
      <c r="F7" s="536"/>
      <c r="G7" s="228" t="s">
        <v>160</v>
      </c>
      <c r="H7" s="175">
        <v>5.5</v>
      </c>
      <c r="I7" s="116"/>
      <c r="J7" s="543" t="str">
        <f>"Feiertage "&amp;gewJahr</f>
        <v>Feiertage 2018</v>
      </c>
      <c r="K7" s="544"/>
      <c r="L7" s="544"/>
      <c r="M7" s="545"/>
      <c r="O7" s="504" t="s">
        <v>262</v>
      </c>
      <c r="P7" s="505"/>
    </row>
    <row r="8" spans="1:16" ht="13.5">
      <c r="A8" s="185" t="s">
        <v>138</v>
      </c>
      <c r="B8" s="348" t="s">
        <v>181</v>
      </c>
      <c r="C8" s="353"/>
      <c r="D8" s="121"/>
      <c r="E8" s="135"/>
      <c r="F8" s="537"/>
      <c r="G8" s="118" t="s">
        <v>96</v>
      </c>
      <c r="H8" s="175">
        <f>SUM(H2:H7)</f>
        <v>37.5</v>
      </c>
      <c r="I8" s="120"/>
      <c r="J8" s="507"/>
      <c r="K8" s="145"/>
      <c r="L8" s="121"/>
      <c r="M8" s="508"/>
      <c r="O8" s="504" t="s">
        <v>263</v>
      </c>
      <c r="P8" s="505"/>
    </row>
    <row r="9" spans="1:16" ht="12.75">
      <c r="A9" s="129"/>
      <c r="B9" s="130"/>
      <c r="C9" s="130"/>
      <c r="D9" s="130"/>
      <c r="F9" s="537"/>
      <c r="G9" s="118" t="s">
        <v>55</v>
      </c>
      <c r="H9" s="15">
        <v>0.9166666666666666</v>
      </c>
      <c r="I9" s="125"/>
      <c r="J9" s="509">
        <f>DATE(gewJahr,1,1)</f>
        <v>43101</v>
      </c>
      <c r="K9" s="132" t="s">
        <v>43</v>
      </c>
      <c r="L9" s="120"/>
      <c r="M9" s="510"/>
      <c r="O9" s="504" t="s">
        <v>264</v>
      </c>
      <c r="P9" s="505"/>
    </row>
    <row r="10" spans="1:16" ht="12.75">
      <c r="A10" s="129"/>
      <c r="B10" s="147"/>
      <c r="C10" s="105"/>
      <c r="D10" s="133"/>
      <c r="E10" s="121"/>
      <c r="F10" s="537"/>
      <c r="G10" s="107" t="s">
        <v>56</v>
      </c>
      <c r="H10" s="15">
        <v>0.25</v>
      </c>
      <c r="I10" s="134"/>
      <c r="J10" s="509">
        <f>DATE(gewJahr,1,6)</f>
        <v>43106</v>
      </c>
      <c r="K10" s="132" t="s">
        <v>44</v>
      </c>
      <c r="L10" s="120"/>
      <c r="M10" s="590" t="s">
        <v>64</v>
      </c>
      <c r="O10" s="504" t="s">
        <v>265</v>
      </c>
      <c r="P10" s="505"/>
    </row>
    <row r="11" spans="1:16" ht="12.75">
      <c r="A11" s="129"/>
      <c r="B11" s="546" t="s">
        <v>154</v>
      </c>
      <c r="C11" s="547"/>
      <c r="D11" s="548"/>
      <c r="E11" s="121"/>
      <c r="F11" s="538"/>
      <c r="G11" s="487" t="str">
        <f>F23&amp;" von:"</f>
        <v>Sonderschicht I von:</v>
      </c>
      <c r="H11" s="15">
        <v>0</v>
      </c>
      <c r="I11" s="120"/>
      <c r="J11" s="509">
        <f>J12-2</f>
        <v>43189</v>
      </c>
      <c r="K11" s="136" t="s">
        <v>29</v>
      </c>
      <c r="L11" s="120"/>
      <c r="M11" s="511"/>
      <c r="O11" s="137"/>
      <c r="P11" s="138"/>
    </row>
    <row r="12" spans="1:16" ht="12.75">
      <c r="A12" s="129"/>
      <c r="B12" s="549" t="s">
        <v>23</v>
      </c>
      <c r="C12" s="231">
        <v>1</v>
      </c>
      <c r="D12" s="550"/>
      <c r="F12" s="537"/>
      <c r="G12" s="107" t="s">
        <v>56</v>
      </c>
      <c r="H12" s="15">
        <v>0</v>
      </c>
      <c r="I12" s="139"/>
      <c r="J12" s="509">
        <f>Ostern(gewJahr)</f>
        <v>43191</v>
      </c>
      <c r="K12" s="136" t="s">
        <v>45</v>
      </c>
      <c r="L12" s="120"/>
      <c r="M12" s="511"/>
      <c r="O12" s="140"/>
      <c r="P12" s="121"/>
    </row>
    <row r="13" spans="1:13" ht="12.75">
      <c r="A13" s="121"/>
      <c r="B13" s="551" t="s">
        <v>176</v>
      </c>
      <c r="C13" s="232">
        <v>0.9</v>
      </c>
      <c r="D13" s="552"/>
      <c r="E13" s="121"/>
      <c r="F13" s="622" t="str">
        <f>G24&amp;" von:"</f>
        <v>Sonderschicht II von:</v>
      </c>
      <c r="G13" s="623"/>
      <c r="H13" s="15">
        <v>0</v>
      </c>
      <c r="I13" s="242"/>
      <c r="J13" s="509">
        <f>J12+1</f>
        <v>43192</v>
      </c>
      <c r="K13" s="136" t="s">
        <v>30</v>
      </c>
      <c r="L13" s="120"/>
      <c r="M13" s="511"/>
    </row>
    <row r="14" spans="2:13" ht="12.75">
      <c r="B14" s="549" t="s">
        <v>24</v>
      </c>
      <c r="C14" s="231">
        <v>0</v>
      </c>
      <c r="D14" s="553"/>
      <c r="E14" s="121"/>
      <c r="F14" s="607" t="s">
        <v>56</v>
      </c>
      <c r="G14" s="608"/>
      <c r="H14" s="243">
        <v>0</v>
      </c>
      <c r="I14" s="120"/>
      <c r="J14" s="509">
        <f>DATE(gewJahr,5,1)</f>
        <v>43221</v>
      </c>
      <c r="K14" s="136" t="s">
        <v>46</v>
      </c>
      <c r="L14" s="145"/>
      <c r="M14" s="511"/>
    </row>
    <row r="15" spans="2:13" ht="12.75">
      <c r="B15" s="549" t="s">
        <v>165</v>
      </c>
      <c r="C15" s="231">
        <v>0</v>
      </c>
      <c r="D15" s="553"/>
      <c r="E15" s="121"/>
      <c r="F15" s="618"/>
      <c r="G15" s="619"/>
      <c r="H15" s="117"/>
      <c r="I15" s="120"/>
      <c r="J15" s="509">
        <f>J12+39</f>
        <v>43230</v>
      </c>
      <c r="K15" s="136" t="s">
        <v>95</v>
      </c>
      <c r="L15" s="145"/>
      <c r="M15" s="511"/>
    </row>
    <row r="16" spans="2:16" ht="12.75">
      <c r="B16" s="549" t="s">
        <v>166</v>
      </c>
      <c r="C16" s="231">
        <v>9</v>
      </c>
      <c r="D16" s="553" t="s">
        <v>26</v>
      </c>
      <c r="F16" s="620" t="s">
        <v>36</v>
      </c>
      <c r="G16" s="621"/>
      <c r="H16" s="12" t="s">
        <v>34</v>
      </c>
      <c r="I16" s="125"/>
      <c r="J16" s="512">
        <f>J12+49</f>
        <v>43240</v>
      </c>
      <c r="K16" s="136" t="s">
        <v>47</v>
      </c>
      <c r="L16" s="120"/>
      <c r="M16" s="511"/>
      <c r="N16" s="595"/>
      <c r="O16" s="596"/>
      <c r="P16" s="111"/>
    </row>
    <row r="17" spans="2:16" ht="12.75">
      <c r="B17" s="554" t="s">
        <v>167</v>
      </c>
      <c r="C17" s="233">
        <v>14.6</v>
      </c>
      <c r="D17" s="236" t="s">
        <v>168</v>
      </c>
      <c r="E17" s="115"/>
      <c r="F17" s="624" t="s">
        <v>35</v>
      </c>
      <c r="G17" s="625"/>
      <c r="H17" s="464">
        <v>25</v>
      </c>
      <c r="I17" s="134"/>
      <c r="J17" s="513">
        <f>J12+50</f>
        <v>43241</v>
      </c>
      <c r="K17" s="143" t="s">
        <v>31</v>
      </c>
      <c r="L17" s="120"/>
      <c r="M17" s="511"/>
      <c r="N17" s="131"/>
      <c r="O17" s="132"/>
      <c r="P17" s="108"/>
    </row>
    <row r="18" spans="2:16" ht="12.75">
      <c r="B18" s="555" t="s">
        <v>304</v>
      </c>
      <c r="C18" s="234">
        <v>1</v>
      </c>
      <c r="D18" s="236" t="s">
        <v>168</v>
      </c>
      <c r="E18" s="135"/>
      <c r="F18" s="593" t="s">
        <v>53</v>
      </c>
      <c r="G18" s="594"/>
      <c r="H18" s="12" t="s">
        <v>34</v>
      </c>
      <c r="I18" s="120"/>
      <c r="J18" s="512">
        <f>J12+60</f>
        <v>43251</v>
      </c>
      <c r="K18" s="136" t="s">
        <v>32</v>
      </c>
      <c r="L18" s="120"/>
      <c r="M18" s="514" t="s">
        <v>64</v>
      </c>
      <c r="N18" s="131"/>
      <c r="O18" s="132"/>
      <c r="P18" s="108"/>
    </row>
    <row r="19" spans="2:16" ht="12.75">
      <c r="B19" s="555" t="s">
        <v>169</v>
      </c>
      <c r="C19" s="235">
        <v>0</v>
      </c>
      <c r="D19" s="238"/>
      <c r="E19" s="135"/>
      <c r="F19" s="527"/>
      <c r="G19" s="135" t="s">
        <v>58</v>
      </c>
      <c r="H19" s="481">
        <v>28.5</v>
      </c>
      <c r="I19" s="120"/>
      <c r="J19" s="512">
        <f>DATE(gewJahr,8,15)</f>
        <v>43327</v>
      </c>
      <c r="K19" s="136" t="s">
        <v>48</v>
      </c>
      <c r="L19" s="120"/>
      <c r="M19" s="514" t="s">
        <v>164</v>
      </c>
      <c r="N19" s="131"/>
      <c r="O19" s="132"/>
      <c r="P19" s="108"/>
    </row>
    <row r="20" spans="2:16" ht="13.5" customHeight="1">
      <c r="B20" s="549" t="s">
        <v>170</v>
      </c>
      <c r="C20" s="231">
        <v>0</v>
      </c>
      <c r="D20" s="238"/>
      <c r="E20" s="135"/>
      <c r="F20" s="527"/>
      <c r="G20" s="135" t="s">
        <v>59</v>
      </c>
      <c r="H20" s="3">
        <v>0</v>
      </c>
      <c r="I20" s="120"/>
      <c r="J20" s="512">
        <f>DATE(gewJahr,10,3)</f>
        <v>43376</v>
      </c>
      <c r="K20" s="136" t="s">
        <v>49</v>
      </c>
      <c r="L20" s="120"/>
      <c r="M20" s="515"/>
      <c r="N20" s="131"/>
      <c r="O20" s="136"/>
      <c r="P20" s="108"/>
    </row>
    <row r="21" spans="2:16" ht="12.75">
      <c r="B21" s="549" t="s">
        <v>171</v>
      </c>
      <c r="C21" s="231">
        <v>0</v>
      </c>
      <c r="D21" s="238"/>
      <c r="E21" s="135"/>
      <c r="F21" s="528"/>
      <c r="G21" s="486" t="s">
        <v>118</v>
      </c>
      <c r="H21" s="3">
        <v>0</v>
      </c>
      <c r="I21" s="120"/>
      <c r="J21" s="512">
        <f>DATE(gewJahr,10,31)</f>
        <v>43404</v>
      </c>
      <c r="K21" s="136" t="s">
        <v>62</v>
      </c>
      <c r="L21" s="120"/>
      <c r="M21" s="514" t="s">
        <v>164</v>
      </c>
      <c r="N21" s="131"/>
      <c r="O21" s="136"/>
      <c r="P21" s="108"/>
    </row>
    <row r="22" spans="1:16" ht="12.75">
      <c r="A22" s="465"/>
      <c r="B22" s="549" t="s">
        <v>172</v>
      </c>
      <c r="C22" s="231">
        <v>0</v>
      </c>
      <c r="D22" s="238"/>
      <c r="E22" s="106"/>
      <c r="F22" s="529"/>
      <c r="G22" s="135" t="s">
        <v>60</v>
      </c>
      <c r="H22" s="3">
        <v>2.98</v>
      </c>
      <c r="I22" s="120"/>
      <c r="J22" s="512">
        <f>DATE(gewJahr,11,1)</f>
        <v>43405</v>
      </c>
      <c r="K22" s="136" t="s">
        <v>50</v>
      </c>
      <c r="L22" s="120"/>
      <c r="M22" s="514" t="s">
        <v>164</v>
      </c>
      <c r="N22" s="131"/>
      <c r="O22" s="136"/>
      <c r="P22" s="108"/>
    </row>
    <row r="23" spans="2:16" ht="12.75">
      <c r="B23" s="556" t="s">
        <v>252</v>
      </c>
      <c r="C23" s="301">
        <v>19460</v>
      </c>
      <c r="D23" s="238"/>
      <c r="E23" s="145"/>
      <c r="F23" s="605" t="s">
        <v>260</v>
      </c>
      <c r="G23" s="606"/>
      <c r="H23" s="480">
        <v>0</v>
      </c>
      <c r="I23" s="125"/>
      <c r="J23" s="509">
        <f>DATE(gewJahr,11,22-INT(MOD(gewJahr-1+gewJahr/4,7)))</f>
        <v>43425</v>
      </c>
      <c r="K23" s="136" t="s">
        <v>63</v>
      </c>
      <c r="L23" s="120"/>
      <c r="M23" s="514" t="s">
        <v>164</v>
      </c>
      <c r="N23" s="131"/>
      <c r="O23" s="136"/>
      <c r="P23" s="106"/>
    </row>
    <row r="24" spans="2:16" ht="13.5" customHeight="1">
      <c r="B24" s="557" t="s">
        <v>312</v>
      </c>
      <c r="C24" s="491">
        <v>0</v>
      </c>
      <c r="D24" s="238"/>
      <c r="E24" s="145"/>
      <c r="F24" s="530"/>
      <c r="G24" s="531" t="s">
        <v>261</v>
      </c>
      <c r="H24" s="482">
        <v>0</v>
      </c>
      <c r="I24" s="134"/>
      <c r="J24" s="509">
        <f>DATE(gewJahr,12,25)</f>
        <v>43459</v>
      </c>
      <c r="K24" s="136" t="s">
        <v>51</v>
      </c>
      <c r="L24" s="120"/>
      <c r="M24" s="515"/>
      <c r="N24" s="131"/>
      <c r="O24" s="136"/>
      <c r="P24" s="106"/>
    </row>
    <row r="25" spans="2:16" ht="12.75">
      <c r="B25" s="558" t="s">
        <v>284</v>
      </c>
      <c r="C25" s="490">
        <v>0</v>
      </c>
      <c r="D25" s="238"/>
      <c r="E25" s="145"/>
      <c r="F25" s="144"/>
      <c r="G25" s="144"/>
      <c r="H25" s="106"/>
      <c r="J25" s="516">
        <f>DATE(gewJahr,12,26)</f>
        <v>43460</v>
      </c>
      <c r="K25" s="517" t="s">
        <v>52</v>
      </c>
      <c r="L25" s="518"/>
      <c r="M25" s="519"/>
      <c r="N25" s="141"/>
      <c r="O25" s="136"/>
      <c r="P25" s="108"/>
    </row>
    <row r="26" spans="1:16" ht="12.75">
      <c r="A26" s="121"/>
      <c r="B26" s="559" t="s">
        <v>25</v>
      </c>
      <c r="C26" s="239">
        <v>0</v>
      </c>
      <c r="D26" s="238" t="s">
        <v>22</v>
      </c>
      <c r="E26" s="120"/>
      <c r="F26" s="144"/>
      <c r="G26" s="144"/>
      <c r="H26" s="145"/>
      <c r="I26" s="120"/>
      <c r="J26" s="131"/>
      <c r="K26" s="136"/>
      <c r="L26" s="108"/>
      <c r="M26" s="108"/>
      <c r="N26" s="142"/>
      <c r="O26" s="143"/>
      <c r="P26" s="108"/>
    </row>
    <row r="27" spans="1:16" ht="12.75">
      <c r="A27" s="121"/>
      <c r="B27" s="560" t="s">
        <v>42</v>
      </c>
      <c r="C27" s="561">
        <v>0</v>
      </c>
      <c r="D27" s="562" t="s">
        <v>22</v>
      </c>
      <c r="E27" s="120"/>
      <c r="F27" s="541"/>
      <c r="G27" s="542" t="s">
        <v>61</v>
      </c>
      <c r="H27" s="573">
        <v>30</v>
      </c>
      <c r="I27" s="125"/>
      <c r="J27" s="131"/>
      <c r="K27" s="136"/>
      <c r="L27" s="108"/>
      <c r="M27" s="108"/>
      <c r="N27" s="141"/>
      <c r="O27" s="136"/>
      <c r="P27" s="108"/>
    </row>
    <row r="28" spans="1:16" ht="12.75">
      <c r="A28" s="121"/>
      <c r="B28" s="600"/>
      <c r="C28" s="600"/>
      <c r="D28" s="600"/>
      <c r="E28" s="120"/>
      <c r="F28" s="527"/>
      <c r="G28" s="575" t="s">
        <v>317</v>
      </c>
      <c r="H28" s="579">
        <v>0.3125</v>
      </c>
      <c r="I28" s="134"/>
      <c r="J28" s="520" t="s">
        <v>211</v>
      </c>
      <c r="K28" s="521"/>
      <c r="L28" s="522"/>
      <c r="M28" s="506"/>
      <c r="N28" s="141"/>
      <c r="O28" s="136"/>
      <c r="P28" s="108"/>
    </row>
    <row r="29" spans="1:16" ht="12.75">
      <c r="A29" s="121"/>
      <c r="B29" s="600"/>
      <c r="C29" s="600"/>
      <c r="D29" s="600"/>
      <c r="E29" s="120"/>
      <c r="F29" s="539"/>
      <c r="G29" s="540" t="s">
        <v>119</v>
      </c>
      <c r="H29" s="574" t="s">
        <v>120</v>
      </c>
      <c r="I29" s="108"/>
      <c r="J29" s="523"/>
      <c r="K29" s="121"/>
      <c r="L29" s="121"/>
      <c r="M29" s="524"/>
      <c r="N29" s="141"/>
      <c r="O29" s="136"/>
      <c r="P29" s="108"/>
    </row>
    <row r="30" spans="1:16" ht="12.75">
      <c r="A30" s="121"/>
      <c r="B30" s="603" t="s">
        <v>214</v>
      </c>
      <c r="C30" s="604"/>
      <c r="D30" s="604"/>
      <c r="E30" s="601"/>
      <c r="F30" s="602"/>
      <c r="G30" s="602"/>
      <c r="H30" s="105"/>
      <c r="J30" s="523"/>
      <c r="K30" s="121"/>
      <c r="L30" s="121"/>
      <c r="M30" s="524"/>
      <c r="N30" s="131"/>
      <c r="O30" s="136"/>
      <c r="P30" s="108"/>
    </row>
    <row r="31" spans="2:16" ht="12.75">
      <c r="B31" s="323" t="s">
        <v>242</v>
      </c>
      <c r="C31" s="321">
        <v>3.3</v>
      </c>
      <c r="D31" s="237" t="s">
        <v>26</v>
      </c>
      <c r="E31" s="230"/>
      <c r="F31" s="106"/>
      <c r="G31" s="106"/>
      <c r="H31" s="147"/>
      <c r="J31" s="523"/>
      <c r="K31" s="121"/>
      <c r="L31" s="121"/>
      <c r="M31" s="524"/>
      <c r="N31" s="131"/>
      <c r="O31" s="136"/>
      <c r="P31" s="106"/>
    </row>
    <row r="32" spans="2:13" ht="12.75">
      <c r="B32" s="323" t="s">
        <v>215</v>
      </c>
      <c r="C32" s="64">
        <v>0.33</v>
      </c>
      <c r="D32" s="237" t="s">
        <v>26</v>
      </c>
      <c r="E32" s="598"/>
      <c r="F32" s="599"/>
      <c r="G32" s="599"/>
      <c r="H32" s="599"/>
      <c r="J32" s="523"/>
      <c r="K32" s="121"/>
      <c r="L32" s="121"/>
      <c r="M32" s="524"/>
    </row>
    <row r="33" spans="1:13" ht="12.75">
      <c r="A33" s="148"/>
      <c r="B33" s="323" t="s">
        <v>216</v>
      </c>
      <c r="C33" s="321">
        <v>0.63</v>
      </c>
      <c r="D33" s="237" t="s">
        <v>26</v>
      </c>
      <c r="E33" s="108"/>
      <c r="F33" s="613" t="s">
        <v>307</v>
      </c>
      <c r="G33" s="614"/>
      <c r="H33" s="615" t="s">
        <v>320</v>
      </c>
      <c r="I33" s="616"/>
      <c r="J33" s="525"/>
      <c r="K33" s="322"/>
      <c r="L33" s="322"/>
      <c r="M33" s="526"/>
    </row>
    <row r="34" spans="1:13" ht="12.75">
      <c r="A34" s="149"/>
      <c r="B34" s="230"/>
      <c r="C34" s="106"/>
      <c r="D34" s="106"/>
      <c r="E34" s="108"/>
      <c r="F34" s="108"/>
      <c r="G34" s="105"/>
      <c r="H34" s="105"/>
      <c r="M34" s="105"/>
    </row>
    <row r="35" spans="1:13" ht="12.75">
      <c r="A35" s="151"/>
      <c r="B35" s="601"/>
      <c r="C35" s="602"/>
      <c r="D35" s="602"/>
      <c r="E35" s="108"/>
      <c r="F35" s="352"/>
      <c r="G35" s="105"/>
      <c r="H35" s="353"/>
      <c r="M35" s="105"/>
    </row>
    <row r="36" spans="1:13" ht="12.75">
      <c r="A36" s="151"/>
      <c r="B36" s="129"/>
      <c r="C36" s="129"/>
      <c r="D36" s="105"/>
      <c r="E36" s="108"/>
      <c r="F36" s="108"/>
      <c r="G36" s="105"/>
      <c r="H36" s="105"/>
      <c r="M36" s="105"/>
    </row>
    <row r="37" spans="1:13" ht="12.75">
      <c r="A37" s="151"/>
      <c r="B37" s="150"/>
      <c r="C37" s="129"/>
      <c r="D37" s="105"/>
      <c r="E37" s="108"/>
      <c r="F37" s="108"/>
      <c r="G37" s="105"/>
      <c r="H37" s="105"/>
      <c r="M37" s="105"/>
    </row>
    <row r="38" spans="1:13" ht="12.75">
      <c r="A38" s="146"/>
      <c r="B38" s="152"/>
      <c r="C38" s="129"/>
      <c r="D38" s="105"/>
      <c r="E38" s="108"/>
      <c r="F38" s="108"/>
      <c r="G38" s="105"/>
      <c r="H38" s="105"/>
      <c r="M38" s="105"/>
    </row>
    <row r="39" spans="1:13" ht="12.75">
      <c r="A39" s="146"/>
      <c r="B39" s="129"/>
      <c r="C39" s="129"/>
      <c r="D39" s="105"/>
      <c r="E39" s="108"/>
      <c r="F39" s="108"/>
      <c r="G39" s="105"/>
      <c r="H39" s="105"/>
      <c r="M39" s="105"/>
    </row>
    <row r="40" spans="1:13" ht="12.75">
      <c r="A40" s="597"/>
      <c r="B40" s="597"/>
      <c r="C40" s="597"/>
      <c r="D40" s="597"/>
      <c r="E40" s="597"/>
      <c r="F40" s="597"/>
      <c r="G40" s="597"/>
      <c r="H40" s="597"/>
      <c r="I40" s="597"/>
      <c r="M40" s="105"/>
    </row>
    <row r="41" ht="12.75" hidden="1"/>
    <row r="42" ht="12.75" hidden="1"/>
    <row r="43" ht="12.75" hidden="1"/>
    <row r="44" spans="2:6" ht="12.75" hidden="1">
      <c r="B44" s="9"/>
      <c r="C44" s="7"/>
      <c r="E44" s="108"/>
      <c r="F44" s="8"/>
    </row>
    <row r="45" spans="2:6" ht="12.75" hidden="1">
      <c r="B45" s="10"/>
      <c r="C45" s="7"/>
      <c r="E45" s="108"/>
      <c r="F45" s="8"/>
    </row>
    <row r="46" spans="2:6" ht="12.75" hidden="1">
      <c r="B46" s="7"/>
      <c r="C46" s="7"/>
      <c r="E46" s="108"/>
      <c r="F46" s="8"/>
    </row>
    <row r="47" spans="2:6" ht="12.75" hidden="1">
      <c r="B47" s="7"/>
      <c r="C47" s="7"/>
      <c r="E47" s="108"/>
      <c r="F47" s="8"/>
    </row>
    <row r="48" spans="2:6" ht="12.75" hidden="1">
      <c r="B48" s="7"/>
      <c r="C48" s="7"/>
      <c r="E48" s="108"/>
      <c r="F48" s="8"/>
    </row>
  </sheetData>
  <sheetProtection/>
  <mergeCells count="20">
    <mergeCell ref="F14:G14"/>
    <mergeCell ref="B3:B4"/>
    <mergeCell ref="C3:C4"/>
    <mergeCell ref="F33:G33"/>
    <mergeCell ref="H33:I33"/>
    <mergeCell ref="K1:K2"/>
    <mergeCell ref="F15:G15"/>
    <mergeCell ref="F16:G16"/>
    <mergeCell ref="F13:G13"/>
    <mergeCell ref="F17:G17"/>
    <mergeCell ref="F18:G18"/>
    <mergeCell ref="N16:O16"/>
    <mergeCell ref="A40:I40"/>
    <mergeCell ref="E32:H32"/>
    <mergeCell ref="B29:D29"/>
    <mergeCell ref="E30:G30"/>
    <mergeCell ref="B35:D35"/>
    <mergeCell ref="B28:D28"/>
    <mergeCell ref="B30:D30"/>
    <mergeCell ref="F23:G23"/>
  </mergeCells>
  <conditionalFormatting sqref="C20">
    <cfRule type="cellIs" priority="1" dxfId="248" operator="between" stopIfTrue="1">
      <formula>0</formula>
      <formula>5</formula>
    </cfRule>
  </conditionalFormatting>
  <dataValidations count="6">
    <dataValidation type="list" allowBlank="1" showInputMessage="1" showErrorMessage="1" sqref="C12">
      <formula1>"1,2,3,4,5,6"</formula1>
    </dataValidation>
    <dataValidation type="list" allowBlank="1" showInputMessage="1" showErrorMessage="1" sqref="C14 C19:C22 C25">
      <formula1>"0,1"</formula1>
    </dataValidation>
    <dataValidation type="list" operator="notBetween" allowBlank="1" showInputMessage="1" showErrorMessage="1" sqref="C16">
      <formula1>"0,8,9"</formula1>
    </dataValidation>
    <dataValidation type="list" allowBlank="1" showInputMessage="1" showErrorMessage="1" sqref="C15">
      <formula1>"0,0,5,1,1,5,2,2,2,3,3,5,4,4,5,5,5,5,6"</formula1>
    </dataValidation>
    <dataValidation type="decimal" allowBlank="1" showInputMessage="1" showErrorMessage="1" sqref="C13">
      <formula1>0.1</formula1>
      <formula2>1</formula2>
    </dataValidation>
    <dataValidation type="list" allowBlank="1" showInputMessage="1" showErrorMessage="1" sqref="C24">
      <formula1>"0,1,2"</formula1>
    </dataValidation>
  </dataValidations>
  <hyperlinks>
    <hyperlink ref="F33" r:id="rId1" display="steuer@parmentier.de"/>
  </hyperlinks>
  <printOptions horizontalCentered="1"/>
  <pageMargins left="0" right="0" top="0" bottom="0" header="0" footer="0"/>
  <pageSetup horizontalDpi="600" verticalDpi="600" orientation="landscape" paperSize="9" r:id="rId5"/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O60"/>
  <sheetViews>
    <sheetView defaultGridColor="0" zoomScalePageLayoutView="0" colorId="22" workbookViewId="0" topLeftCell="A1">
      <selection activeCell="F40" sqref="F40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4.28125" style="0" customWidth="1"/>
    <col min="4" max="5" width="7.71093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4218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3"/>
      <c r="L1" s="14"/>
      <c r="M1" s="14"/>
      <c r="N1" s="14"/>
    </row>
    <row r="2" spans="2:14" ht="15">
      <c r="B2" s="446" t="str">
        <f>"Arbeitszeitachweis Mai "&amp;gewJahr</f>
        <v>Arbeitszeitachweis Mai 2018</v>
      </c>
      <c r="C2" s="447"/>
      <c r="D2" s="447"/>
      <c r="E2" s="447"/>
      <c r="F2" s="447"/>
      <c r="G2" s="446"/>
      <c r="H2" s="446"/>
      <c r="I2" s="446"/>
      <c r="J2" s="667" t="s">
        <v>92</v>
      </c>
      <c r="K2" s="13"/>
      <c r="L2" s="63"/>
      <c r="M2" s="14"/>
      <c r="N2" s="14"/>
    </row>
    <row r="3" spans="2:14" ht="13.5" customHeight="1">
      <c r="B3" s="484" t="s">
        <v>124</v>
      </c>
      <c r="C3" s="456" t="str">
        <f>Stammdaten!$B$6</f>
        <v>Mustermann, Hans</v>
      </c>
      <c r="D3" s="449"/>
      <c r="E3" s="449"/>
      <c r="F3" s="450"/>
      <c r="G3" s="450"/>
      <c r="H3" s="445"/>
      <c r="I3" s="451"/>
      <c r="J3" s="643"/>
      <c r="K3" s="14"/>
      <c r="L3" s="13"/>
      <c r="M3" s="13"/>
      <c r="N3" s="13"/>
    </row>
    <row r="4" spans="2:14" ht="16.5" customHeight="1" hidden="1">
      <c r="B4" s="671"/>
      <c r="C4" s="671"/>
      <c r="D4" s="448"/>
      <c r="E4" s="449"/>
      <c r="F4" s="449"/>
      <c r="G4" s="450"/>
      <c r="H4" s="14"/>
      <c r="I4" s="14"/>
      <c r="J4" s="643"/>
      <c r="K4" s="4"/>
      <c r="L4" s="14"/>
      <c r="M4" s="14"/>
      <c r="N4" s="14"/>
    </row>
    <row r="5" spans="2:12" ht="16.5" customHeight="1" hidden="1">
      <c r="B5" s="4"/>
      <c r="C5" s="66"/>
      <c r="D5" s="4"/>
      <c r="E5" s="4"/>
      <c r="F5" s="4"/>
      <c r="H5" s="4"/>
      <c r="I5" s="4"/>
      <c r="J5" s="643"/>
      <c r="K5" s="5"/>
      <c r="L5" s="4"/>
    </row>
    <row r="6" spans="2:14" ht="16.5" customHeight="1">
      <c r="B6" s="43"/>
      <c r="C6" s="43"/>
      <c r="D6" s="43"/>
      <c r="E6" s="43"/>
      <c r="F6" s="43"/>
      <c r="G6" s="43"/>
      <c r="H6" s="43"/>
      <c r="I6" s="43"/>
      <c r="J6" s="668"/>
      <c r="K6" s="78"/>
      <c r="L6" s="5"/>
      <c r="M6" s="5"/>
      <c r="N6" s="5"/>
    </row>
    <row r="7" spans="1:15" s="210" customFormat="1" ht="26.25" customHeight="1">
      <c r="A7" s="207"/>
      <c r="B7" s="648" t="s">
        <v>38</v>
      </c>
      <c r="C7" s="649"/>
      <c r="D7" s="453" t="s">
        <v>247</v>
      </c>
      <c r="E7" s="454" t="s">
        <v>248</v>
      </c>
      <c r="F7" s="455" t="s">
        <v>249</v>
      </c>
      <c r="G7" s="455" t="s">
        <v>250</v>
      </c>
      <c r="H7" s="177" t="s">
        <v>65</v>
      </c>
      <c r="I7" s="178" t="s">
        <v>39</v>
      </c>
      <c r="J7" s="179" t="s">
        <v>89</v>
      </c>
      <c r="K7" s="209"/>
      <c r="L7" s="213"/>
      <c r="M7" s="213"/>
      <c r="N7" s="213"/>
      <c r="O7" s="207"/>
    </row>
    <row r="8" spans="1:15" s="210" customFormat="1" ht="11.25" customHeight="1">
      <c r="A8" s="207"/>
      <c r="B8" s="219">
        <f>DATE(gewJahr,5,1)</f>
        <v>43221</v>
      </c>
      <c r="C8" s="220">
        <f aca="true" t="shared" si="0" ref="C8:C38">WEEKDAY(B8)</f>
        <v>3</v>
      </c>
      <c r="D8" s="221">
        <v>0</v>
      </c>
      <c r="E8" s="221">
        <v>0</v>
      </c>
      <c r="F8" s="267">
        <f>MAX(IF(D8&lt;=E8,E8-D8,"24:00"-D8+E8)-G8,0)</f>
        <v>0</v>
      </c>
      <c r="G8" s="221"/>
      <c r="H8" s="273">
        <f>IF(F8-I8&gt;0,F8-I8,0)</f>
        <v>0</v>
      </c>
      <c r="I8" s="271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197"/>
      <c r="K8" s="208"/>
      <c r="L8" s="209"/>
      <c r="M8" s="209"/>
      <c r="N8" s="209"/>
      <c r="O8" s="207"/>
    </row>
    <row r="9" spans="1:15" s="210" customFormat="1" ht="11.25" customHeight="1">
      <c r="A9" s="207"/>
      <c r="B9" s="198">
        <f aca="true" t="shared" si="1" ref="B9:B38">B8+1</f>
        <v>43222</v>
      </c>
      <c r="C9" s="199">
        <f t="shared" si="0"/>
        <v>4</v>
      </c>
      <c r="D9" s="200">
        <v>0</v>
      </c>
      <c r="E9" s="200">
        <v>0</v>
      </c>
      <c r="F9" s="268">
        <f aca="true" t="shared" si="2" ref="F9:F38">MAX(IF(D9&lt;=E9,E9-D9,"24:00"-D9+E9)-G9,0)</f>
        <v>0</v>
      </c>
      <c r="G9" s="200"/>
      <c r="H9" s="269">
        <f>IF(F9-I9&gt;0,F9-I9,0)</f>
        <v>0</v>
      </c>
      <c r="I9" s="271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197"/>
      <c r="K9" s="208"/>
      <c r="L9" s="208"/>
      <c r="M9" s="208"/>
      <c r="N9" s="208"/>
      <c r="O9" s="207"/>
    </row>
    <row r="10" spans="1:15" s="210" customFormat="1" ht="11.25" customHeight="1">
      <c r="A10" s="207"/>
      <c r="B10" s="198">
        <f t="shared" si="1"/>
        <v>43223</v>
      </c>
      <c r="C10" s="199">
        <f t="shared" si="0"/>
        <v>5</v>
      </c>
      <c r="D10" s="200">
        <v>0</v>
      </c>
      <c r="E10" s="200">
        <v>0</v>
      </c>
      <c r="F10" s="268">
        <f t="shared" si="2"/>
        <v>0</v>
      </c>
      <c r="G10" s="200"/>
      <c r="H10" s="269">
        <f aca="true" t="shared" si="3" ref="H10:H38">IF(F10-I10&gt;0,F10-I10,0)</f>
        <v>0</v>
      </c>
      <c r="I10" s="271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197"/>
      <c r="K10" s="208"/>
      <c r="L10" s="208"/>
      <c r="M10" s="208"/>
      <c r="N10" s="208"/>
      <c r="O10" s="207"/>
    </row>
    <row r="11" spans="1:15" s="210" customFormat="1" ht="11.25" customHeight="1">
      <c r="A11" s="207"/>
      <c r="B11" s="198">
        <f t="shared" si="1"/>
        <v>43224</v>
      </c>
      <c r="C11" s="199">
        <f t="shared" si="0"/>
        <v>6</v>
      </c>
      <c r="D11" s="200">
        <v>0</v>
      </c>
      <c r="E11" s="200">
        <v>0</v>
      </c>
      <c r="F11" s="268">
        <f t="shared" si="2"/>
        <v>0</v>
      </c>
      <c r="G11" s="200"/>
      <c r="H11" s="269">
        <f t="shared" si="3"/>
        <v>0</v>
      </c>
      <c r="I11" s="271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197"/>
      <c r="K11" s="208"/>
      <c r="L11" s="208"/>
      <c r="M11" s="208"/>
      <c r="N11" s="208"/>
      <c r="O11" s="207"/>
    </row>
    <row r="12" spans="1:15" s="210" customFormat="1" ht="11.25" customHeight="1">
      <c r="A12" s="207"/>
      <c r="B12" s="198">
        <f t="shared" si="1"/>
        <v>43225</v>
      </c>
      <c r="C12" s="199">
        <f t="shared" si="0"/>
        <v>7</v>
      </c>
      <c r="D12" s="200">
        <v>0</v>
      </c>
      <c r="E12" s="200">
        <v>0</v>
      </c>
      <c r="F12" s="268">
        <f t="shared" si="2"/>
        <v>0</v>
      </c>
      <c r="G12" s="200"/>
      <c r="H12" s="269">
        <f t="shared" si="3"/>
        <v>0</v>
      </c>
      <c r="I12" s="271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197"/>
      <c r="K12" s="209"/>
      <c r="L12" s="208"/>
      <c r="M12" s="208"/>
      <c r="N12" s="208"/>
      <c r="O12" s="207"/>
    </row>
    <row r="13" spans="1:15" s="210" customFormat="1" ht="11.25" customHeight="1">
      <c r="A13" s="207"/>
      <c r="B13" s="198">
        <f t="shared" si="1"/>
        <v>43226</v>
      </c>
      <c r="C13" s="199">
        <f t="shared" si="0"/>
        <v>1</v>
      </c>
      <c r="D13" s="200">
        <v>0</v>
      </c>
      <c r="E13" s="200">
        <v>0</v>
      </c>
      <c r="F13" s="268">
        <f t="shared" si="2"/>
        <v>0</v>
      </c>
      <c r="G13" s="200"/>
      <c r="H13" s="269">
        <f t="shared" si="3"/>
        <v>0</v>
      </c>
      <c r="I13" s="271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197"/>
      <c r="K13" s="208"/>
      <c r="L13" s="209"/>
      <c r="M13" s="208"/>
      <c r="N13" s="208"/>
      <c r="O13" s="207"/>
    </row>
    <row r="14" spans="1:15" s="210" customFormat="1" ht="11.25" customHeight="1">
      <c r="A14" s="207"/>
      <c r="B14" s="198">
        <f t="shared" si="1"/>
        <v>43227</v>
      </c>
      <c r="C14" s="199">
        <f t="shared" si="0"/>
        <v>2</v>
      </c>
      <c r="D14" s="200">
        <v>0</v>
      </c>
      <c r="E14" s="200">
        <v>0</v>
      </c>
      <c r="F14" s="268">
        <f t="shared" si="2"/>
        <v>0</v>
      </c>
      <c r="G14" s="200"/>
      <c r="H14" s="269">
        <f t="shared" si="3"/>
        <v>0</v>
      </c>
      <c r="I14" s="271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197"/>
      <c r="K14" s="208"/>
      <c r="L14" s="208"/>
      <c r="M14" s="208"/>
      <c r="N14" s="208"/>
      <c r="O14" s="207"/>
    </row>
    <row r="15" spans="1:15" s="210" customFormat="1" ht="11.25" customHeight="1">
      <c r="A15" s="207"/>
      <c r="B15" s="198">
        <f t="shared" si="1"/>
        <v>43228</v>
      </c>
      <c r="C15" s="199">
        <f t="shared" si="0"/>
        <v>3</v>
      </c>
      <c r="D15" s="200">
        <v>0</v>
      </c>
      <c r="E15" s="200">
        <v>0</v>
      </c>
      <c r="F15" s="268">
        <f t="shared" si="2"/>
        <v>0</v>
      </c>
      <c r="G15" s="200"/>
      <c r="H15" s="269">
        <f t="shared" si="3"/>
        <v>0</v>
      </c>
      <c r="I15" s="271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197"/>
      <c r="K15" s="208"/>
      <c r="L15" s="208"/>
      <c r="M15" s="208"/>
      <c r="N15" s="208"/>
      <c r="O15" s="207"/>
    </row>
    <row r="16" spans="1:15" s="210" customFormat="1" ht="11.25" customHeight="1">
      <c r="A16" s="207"/>
      <c r="B16" s="198">
        <f t="shared" si="1"/>
        <v>43229</v>
      </c>
      <c r="C16" s="199">
        <f t="shared" si="0"/>
        <v>4</v>
      </c>
      <c r="D16" s="200">
        <v>0</v>
      </c>
      <c r="E16" s="200">
        <v>0</v>
      </c>
      <c r="F16" s="268">
        <f t="shared" si="2"/>
        <v>0</v>
      </c>
      <c r="G16" s="200"/>
      <c r="H16" s="269">
        <f t="shared" si="3"/>
        <v>0</v>
      </c>
      <c r="I16" s="271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197"/>
      <c r="K16" s="208"/>
      <c r="L16" s="208"/>
      <c r="M16" s="208"/>
      <c r="N16" s="208"/>
      <c r="O16" s="207"/>
    </row>
    <row r="17" spans="1:15" s="210" customFormat="1" ht="11.25" customHeight="1">
      <c r="A17" s="207"/>
      <c r="B17" s="585">
        <f t="shared" si="1"/>
        <v>43230</v>
      </c>
      <c r="C17" s="586">
        <f t="shared" si="0"/>
        <v>5</v>
      </c>
      <c r="D17" s="587">
        <v>0</v>
      </c>
      <c r="E17" s="587">
        <v>0</v>
      </c>
      <c r="F17" s="588">
        <f t="shared" si="2"/>
        <v>0</v>
      </c>
      <c r="G17" s="587"/>
      <c r="H17" s="589">
        <f t="shared" si="3"/>
        <v>0</v>
      </c>
      <c r="I17" s="271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197"/>
      <c r="K17" s="208"/>
      <c r="L17" s="208"/>
      <c r="M17" s="208"/>
      <c r="N17" s="208"/>
      <c r="O17" s="207"/>
    </row>
    <row r="18" spans="1:15" s="210" customFormat="1" ht="11.25" customHeight="1">
      <c r="A18" s="207"/>
      <c r="B18" s="198">
        <f t="shared" si="1"/>
        <v>43231</v>
      </c>
      <c r="C18" s="199">
        <f t="shared" si="0"/>
        <v>6</v>
      </c>
      <c r="D18" s="200">
        <v>0</v>
      </c>
      <c r="E18" s="200">
        <v>0</v>
      </c>
      <c r="F18" s="268">
        <f t="shared" si="2"/>
        <v>0</v>
      </c>
      <c r="G18" s="200"/>
      <c r="H18" s="269">
        <f t="shared" si="3"/>
        <v>0</v>
      </c>
      <c r="I18" s="271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197"/>
      <c r="K18" s="208"/>
      <c r="L18" s="208"/>
      <c r="M18" s="208"/>
      <c r="N18" s="208"/>
      <c r="O18" s="207"/>
    </row>
    <row r="19" spans="1:15" s="210" customFormat="1" ht="11.25" customHeight="1">
      <c r="A19" s="207"/>
      <c r="B19" s="198">
        <f t="shared" si="1"/>
        <v>43232</v>
      </c>
      <c r="C19" s="199">
        <f t="shared" si="0"/>
        <v>7</v>
      </c>
      <c r="D19" s="200">
        <v>0</v>
      </c>
      <c r="E19" s="200">
        <v>0</v>
      </c>
      <c r="F19" s="268">
        <f t="shared" si="2"/>
        <v>0</v>
      </c>
      <c r="G19" s="200"/>
      <c r="H19" s="269">
        <f t="shared" si="3"/>
        <v>0</v>
      </c>
      <c r="I19" s="271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197"/>
      <c r="K19" s="208"/>
      <c r="L19" s="208"/>
      <c r="M19" s="208"/>
      <c r="N19" s="208"/>
      <c r="O19" s="207"/>
    </row>
    <row r="20" spans="1:15" s="210" customFormat="1" ht="11.25" customHeight="1">
      <c r="A20" s="207"/>
      <c r="B20" s="198">
        <f t="shared" si="1"/>
        <v>43233</v>
      </c>
      <c r="C20" s="199">
        <f t="shared" si="0"/>
        <v>1</v>
      </c>
      <c r="D20" s="200">
        <v>0</v>
      </c>
      <c r="E20" s="200">
        <v>0</v>
      </c>
      <c r="F20" s="268">
        <f t="shared" si="2"/>
        <v>0</v>
      </c>
      <c r="G20" s="200"/>
      <c r="H20" s="269">
        <f t="shared" si="3"/>
        <v>0</v>
      </c>
      <c r="I20" s="271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197"/>
      <c r="K20" s="208"/>
      <c r="L20" s="208"/>
      <c r="M20" s="208"/>
      <c r="N20" s="208"/>
      <c r="O20" s="207"/>
    </row>
    <row r="21" spans="1:15" s="210" customFormat="1" ht="11.25" customHeight="1">
      <c r="A21" s="207"/>
      <c r="B21" s="198">
        <f t="shared" si="1"/>
        <v>43234</v>
      </c>
      <c r="C21" s="199">
        <f t="shared" si="0"/>
        <v>2</v>
      </c>
      <c r="D21" s="200">
        <v>0</v>
      </c>
      <c r="E21" s="200">
        <v>0</v>
      </c>
      <c r="F21" s="268">
        <f t="shared" si="2"/>
        <v>0</v>
      </c>
      <c r="G21" s="200"/>
      <c r="H21" s="269">
        <f t="shared" si="3"/>
        <v>0</v>
      </c>
      <c r="I21" s="271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197"/>
      <c r="K21" s="208"/>
      <c r="L21" s="208"/>
      <c r="M21" s="208"/>
      <c r="N21" s="208"/>
      <c r="O21" s="207"/>
    </row>
    <row r="22" spans="1:15" s="210" customFormat="1" ht="11.25" customHeight="1">
      <c r="A22" s="207"/>
      <c r="B22" s="198">
        <f t="shared" si="1"/>
        <v>43235</v>
      </c>
      <c r="C22" s="199">
        <f t="shared" si="0"/>
        <v>3</v>
      </c>
      <c r="D22" s="200">
        <v>0</v>
      </c>
      <c r="E22" s="200">
        <v>0</v>
      </c>
      <c r="F22" s="268">
        <f t="shared" si="2"/>
        <v>0</v>
      </c>
      <c r="G22" s="200"/>
      <c r="H22" s="269">
        <f t="shared" si="3"/>
        <v>0</v>
      </c>
      <c r="I22" s="271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197"/>
      <c r="K22" s="208"/>
      <c r="L22" s="208"/>
      <c r="M22" s="208"/>
      <c r="N22" s="208"/>
      <c r="O22" s="207"/>
    </row>
    <row r="23" spans="1:15" s="210" customFormat="1" ht="11.25" customHeight="1">
      <c r="A23" s="207"/>
      <c r="B23" s="198">
        <f t="shared" si="1"/>
        <v>43236</v>
      </c>
      <c r="C23" s="199">
        <f t="shared" si="0"/>
        <v>4</v>
      </c>
      <c r="D23" s="200">
        <v>0</v>
      </c>
      <c r="E23" s="200">
        <v>0</v>
      </c>
      <c r="F23" s="268">
        <f t="shared" si="2"/>
        <v>0</v>
      </c>
      <c r="G23" s="200"/>
      <c r="H23" s="269">
        <f t="shared" si="3"/>
        <v>0</v>
      </c>
      <c r="I23" s="271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197"/>
      <c r="K23" s="208"/>
      <c r="L23" s="208"/>
      <c r="M23" s="208"/>
      <c r="N23" s="208"/>
      <c r="O23" s="207"/>
    </row>
    <row r="24" spans="1:15" s="210" customFormat="1" ht="11.25" customHeight="1">
      <c r="A24" s="207"/>
      <c r="B24" s="198">
        <f t="shared" si="1"/>
        <v>43237</v>
      </c>
      <c r="C24" s="199">
        <f t="shared" si="0"/>
        <v>5</v>
      </c>
      <c r="D24" s="200">
        <v>0</v>
      </c>
      <c r="E24" s="200">
        <v>0</v>
      </c>
      <c r="F24" s="268">
        <f t="shared" si="2"/>
        <v>0</v>
      </c>
      <c r="G24" s="200"/>
      <c r="H24" s="269">
        <f t="shared" si="3"/>
        <v>0</v>
      </c>
      <c r="I24" s="271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197"/>
      <c r="K24" s="208"/>
      <c r="L24" s="208"/>
      <c r="M24" s="208"/>
      <c r="N24" s="208"/>
      <c r="O24" s="207"/>
    </row>
    <row r="25" spans="1:15" s="210" customFormat="1" ht="11.25" customHeight="1">
      <c r="A25" s="207"/>
      <c r="B25" s="198">
        <f t="shared" si="1"/>
        <v>43238</v>
      </c>
      <c r="C25" s="199">
        <f t="shared" si="0"/>
        <v>6</v>
      </c>
      <c r="D25" s="200">
        <v>0</v>
      </c>
      <c r="E25" s="200">
        <v>0</v>
      </c>
      <c r="F25" s="268">
        <f t="shared" si="2"/>
        <v>0</v>
      </c>
      <c r="G25" s="200"/>
      <c r="H25" s="269">
        <f t="shared" si="3"/>
        <v>0</v>
      </c>
      <c r="I25" s="271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197"/>
      <c r="K25" s="208"/>
      <c r="L25" s="208"/>
      <c r="M25" s="208"/>
      <c r="N25" s="208"/>
      <c r="O25" s="207"/>
    </row>
    <row r="26" spans="1:15" s="210" customFormat="1" ht="11.25" customHeight="1">
      <c r="A26" s="207"/>
      <c r="B26" s="198">
        <f t="shared" si="1"/>
        <v>43239</v>
      </c>
      <c r="C26" s="199">
        <f t="shared" si="0"/>
        <v>7</v>
      </c>
      <c r="D26" s="200">
        <v>0</v>
      </c>
      <c r="E26" s="200">
        <v>0</v>
      </c>
      <c r="F26" s="268">
        <f t="shared" si="2"/>
        <v>0</v>
      </c>
      <c r="G26" s="200"/>
      <c r="H26" s="269">
        <f t="shared" si="3"/>
        <v>0</v>
      </c>
      <c r="I26" s="271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197"/>
      <c r="K26" s="208"/>
      <c r="L26" s="208"/>
      <c r="M26" s="208"/>
      <c r="N26" s="208"/>
      <c r="O26" s="207"/>
    </row>
    <row r="27" spans="1:15" s="210" customFormat="1" ht="11.25" customHeight="1">
      <c r="A27" s="207"/>
      <c r="B27" s="198">
        <f t="shared" si="1"/>
        <v>43240</v>
      </c>
      <c r="C27" s="199">
        <f t="shared" si="0"/>
        <v>1</v>
      </c>
      <c r="D27" s="200">
        <v>0</v>
      </c>
      <c r="E27" s="200">
        <v>0</v>
      </c>
      <c r="F27" s="268">
        <f t="shared" si="2"/>
        <v>0</v>
      </c>
      <c r="G27" s="200"/>
      <c r="H27" s="269">
        <f t="shared" si="3"/>
        <v>0</v>
      </c>
      <c r="I27" s="271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197"/>
      <c r="K27" s="208"/>
      <c r="L27" s="208"/>
      <c r="M27" s="208"/>
      <c r="N27" s="208"/>
      <c r="O27" s="207"/>
    </row>
    <row r="28" spans="1:15" s="210" customFormat="1" ht="11.25" customHeight="1">
      <c r="A28" s="207"/>
      <c r="B28" s="585">
        <f t="shared" si="1"/>
        <v>43241</v>
      </c>
      <c r="C28" s="586">
        <f t="shared" si="0"/>
        <v>2</v>
      </c>
      <c r="D28" s="587">
        <v>0</v>
      </c>
      <c r="E28" s="587">
        <v>0</v>
      </c>
      <c r="F28" s="588">
        <f t="shared" si="2"/>
        <v>0</v>
      </c>
      <c r="G28" s="587"/>
      <c r="H28" s="589">
        <f t="shared" si="3"/>
        <v>0</v>
      </c>
      <c r="I28" s="271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197"/>
      <c r="K28" s="208"/>
      <c r="L28" s="208"/>
      <c r="M28" s="208"/>
      <c r="N28" s="208"/>
      <c r="O28" s="207"/>
    </row>
    <row r="29" spans="1:15" s="210" customFormat="1" ht="11.25" customHeight="1">
      <c r="A29" s="207"/>
      <c r="B29" s="198">
        <f t="shared" si="1"/>
        <v>43242</v>
      </c>
      <c r="C29" s="199">
        <f t="shared" si="0"/>
        <v>3</v>
      </c>
      <c r="D29" s="200">
        <v>0</v>
      </c>
      <c r="E29" s="200">
        <v>0</v>
      </c>
      <c r="F29" s="268">
        <f t="shared" si="2"/>
        <v>0</v>
      </c>
      <c r="G29" s="200"/>
      <c r="H29" s="269">
        <f t="shared" si="3"/>
        <v>0</v>
      </c>
      <c r="I29" s="271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197"/>
      <c r="K29" s="208"/>
      <c r="L29" s="208"/>
      <c r="M29" s="208"/>
      <c r="N29" s="208"/>
      <c r="O29" s="207"/>
    </row>
    <row r="30" spans="1:15" s="210" customFormat="1" ht="11.25" customHeight="1">
      <c r="A30" s="207"/>
      <c r="B30" s="198">
        <f t="shared" si="1"/>
        <v>43243</v>
      </c>
      <c r="C30" s="199">
        <f t="shared" si="0"/>
        <v>4</v>
      </c>
      <c r="D30" s="200">
        <v>0</v>
      </c>
      <c r="E30" s="200">
        <v>0</v>
      </c>
      <c r="F30" s="268">
        <f t="shared" si="2"/>
        <v>0</v>
      </c>
      <c r="G30" s="200"/>
      <c r="H30" s="269">
        <f t="shared" si="3"/>
        <v>0</v>
      </c>
      <c r="I30" s="271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197"/>
      <c r="K30" s="208"/>
      <c r="L30" s="208"/>
      <c r="M30" s="208"/>
      <c r="N30" s="208"/>
      <c r="O30" s="207"/>
    </row>
    <row r="31" spans="1:15" s="210" customFormat="1" ht="11.25" customHeight="1">
      <c r="A31" s="207"/>
      <c r="B31" s="198">
        <f t="shared" si="1"/>
        <v>43244</v>
      </c>
      <c r="C31" s="199">
        <f t="shared" si="0"/>
        <v>5</v>
      </c>
      <c r="D31" s="200">
        <v>0</v>
      </c>
      <c r="E31" s="200">
        <v>0</v>
      </c>
      <c r="F31" s="268">
        <f t="shared" si="2"/>
        <v>0</v>
      </c>
      <c r="G31" s="200"/>
      <c r="H31" s="269">
        <f t="shared" si="3"/>
        <v>0</v>
      </c>
      <c r="I31" s="271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197"/>
      <c r="K31" s="208"/>
      <c r="L31" s="208"/>
      <c r="M31" s="208"/>
      <c r="N31" s="208"/>
      <c r="O31" s="207"/>
    </row>
    <row r="32" spans="1:15" s="210" customFormat="1" ht="11.25" customHeight="1">
      <c r="A32" s="207"/>
      <c r="B32" s="198">
        <f t="shared" si="1"/>
        <v>43245</v>
      </c>
      <c r="C32" s="199">
        <f t="shared" si="0"/>
        <v>6</v>
      </c>
      <c r="D32" s="200">
        <v>0</v>
      </c>
      <c r="E32" s="200">
        <v>0</v>
      </c>
      <c r="F32" s="268">
        <f t="shared" si="2"/>
        <v>0</v>
      </c>
      <c r="G32" s="200"/>
      <c r="H32" s="269">
        <f t="shared" si="3"/>
        <v>0</v>
      </c>
      <c r="I32" s="271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197"/>
      <c r="K32" s="208"/>
      <c r="L32" s="208"/>
      <c r="M32" s="208"/>
      <c r="N32" s="208"/>
      <c r="O32" s="207"/>
    </row>
    <row r="33" spans="1:15" s="210" customFormat="1" ht="11.25" customHeight="1">
      <c r="A33" s="207"/>
      <c r="B33" s="198">
        <f t="shared" si="1"/>
        <v>43246</v>
      </c>
      <c r="C33" s="199">
        <f t="shared" si="0"/>
        <v>7</v>
      </c>
      <c r="D33" s="200">
        <v>0</v>
      </c>
      <c r="E33" s="200">
        <v>0</v>
      </c>
      <c r="F33" s="268">
        <f t="shared" si="2"/>
        <v>0</v>
      </c>
      <c r="G33" s="200"/>
      <c r="H33" s="269">
        <f t="shared" si="3"/>
        <v>0</v>
      </c>
      <c r="I33" s="271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197"/>
      <c r="K33" s="208"/>
      <c r="L33" s="208"/>
      <c r="M33" s="208"/>
      <c r="N33" s="208"/>
      <c r="O33" s="207"/>
    </row>
    <row r="34" spans="1:15" s="210" customFormat="1" ht="11.25" customHeight="1">
      <c r="A34" s="207"/>
      <c r="B34" s="198">
        <f t="shared" si="1"/>
        <v>43247</v>
      </c>
      <c r="C34" s="199">
        <f t="shared" si="0"/>
        <v>1</v>
      </c>
      <c r="D34" s="200">
        <v>0</v>
      </c>
      <c r="E34" s="200">
        <v>0</v>
      </c>
      <c r="F34" s="268">
        <f t="shared" si="2"/>
        <v>0</v>
      </c>
      <c r="G34" s="200"/>
      <c r="H34" s="269">
        <f t="shared" si="3"/>
        <v>0</v>
      </c>
      <c r="I34" s="271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197"/>
      <c r="K34" s="208"/>
      <c r="L34" s="208"/>
      <c r="M34" s="208"/>
      <c r="N34" s="208"/>
      <c r="O34" s="207"/>
    </row>
    <row r="35" spans="1:15" s="210" customFormat="1" ht="11.25" customHeight="1">
      <c r="A35" s="207"/>
      <c r="B35" s="198">
        <f t="shared" si="1"/>
        <v>43248</v>
      </c>
      <c r="C35" s="199">
        <f t="shared" si="0"/>
        <v>2</v>
      </c>
      <c r="D35" s="200">
        <v>0</v>
      </c>
      <c r="E35" s="200">
        <v>0</v>
      </c>
      <c r="F35" s="268">
        <f t="shared" si="2"/>
        <v>0</v>
      </c>
      <c r="G35" s="200"/>
      <c r="H35" s="269">
        <f t="shared" si="3"/>
        <v>0</v>
      </c>
      <c r="I35" s="271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197"/>
      <c r="K35" s="208"/>
      <c r="L35" s="208"/>
      <c r="M35" s="208"/>
      <c r="N35" s="208"/>
      <c r="O35" s="207"/>
    </row>
    <row r="36" spans="1:15" s="210" customFormat="1" ht="11.25" customHeight="1">
      <c r="A36" s="207"/>
      <c r="B36" s="198">
        <f t="shared" si="1"/>
        <v>43249</v>
      </c>
      <c r="C36" s="199">
        <f t="shared" si="0"/>
        <v>3</v>
      </c>
      <c r="D36" s="200">
        <v>0</v>
      </c>
      <c r="E36" s="200">
        <v>0</v>
      </c>
      <c r="F36" s="268">
        <f t="shared" si="2"/>
        <v>0</v>
      </c>
      <c r="G36" s="200"/>
      <c r="H36" s="269">
        <f t="shared" si="3"/>
        <v>0</v>
      </c>
      <c r="I36" s="271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197"/>
      <c r="K36" s="208"/>
      <c r="L36" s="208"/>
      <c r="M36" s="208"/>
      <c r="N36" s="208"/>
      <c r="O36" s="207"/>
    </row>
    <row r="37" spans="1:15" s="210" customFormat="1" ht="11.25" customHeight="1">
      <c r="A37" s="207"/>
      <c r="B37" s="198">
        <f t="shared" si="1"/>
        <v>43250</v>
      </c>
      <c r="C37" s="199">
        <f t="shared" si="0"/>
        <v>4</v>
      </c>
      <c r="D37" s="200">
        <v>0</v>
      </c>
      <c r="E37" s="200">
        <v>0</v>
      </c>
      <c r="F37" s="268">
        <f t="shared" si="2"/>
        <v>0</v>
      </c>
      <c r="G37" s="200"/>
      <c r="H37" s="269">
        <f t="shared" si="3"/>
        <v>0</v>
      </c>
      <c r="I37" s="271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197"/>
      <c r="K37" s="208"/>
      <c r="L37" s="208"/>
      <c r="M37" s="208"/>
      <c r="N37" s="208"/>
      <c r="O37" s="207"/>
    </row>
    <row r="38" spans="1:15" s="210" customFormat="1" ht="11.25" customHeight="1">
      <c r="A38" s="207"/>
      <c r="B38" s="198">
        <f t="shared" si="1"/>
        <v>43251</v>
      </c>
      <c r="C38" s="199">
        <f t="shared" si="0"/>
        <v>5</v>
      </c>
      <c r="D38" s="200">
        <v>0</v>
      </c>
      <c r="E38" s="200">
        <v>0</v>
      </c>
      <c r="F38" s="268">
        <f t="shared" si="2"/>
        <v>0</v>
      </c>
      <c r="G38" s="200"/>
      <c r="H38" s="269">
        <f t="shared" si="3"/>
        <v>0</v>
      </c>
      <c r="I38" s="271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197"/>
      <c r="K38" s="208"/>
      <c r="L38" s="208"/>
      <c r="M38" s="208"/>
      <c r="N38" s="208"/>
      <c r="O38" s="207"/>
    </row>
    <row r="39" spans="1:15" s="210" customFormat="1" ht="11.25" customHeight="1">
      <c r="A39" s="211"/>
      <c r="B39" s="188"/>
      <c r="C39" s="188"/>
      <c r="D39" s="577" t="s">
        <v>88</v>
      </c>
      <c r="E39" s="578"/>
      <c r="F39" s="270">
        <f>SUM(F7:F38)</f>
        <v>0</v>
      </c>
      <c r="G39" s="281"/>
      <c r="H39" s="270">
        <f>SUM(H8:H38)</f>
        <v>0</v>
      </c>
      <c r="I39" s="272">
        <f>SUM(I8:I38)</f>
        <v>0</v>
      </c>
      <c r="J39" s="244"/>
      <c r="K39" s="208"/>
      <c r="L39" s="208"/>
      <c r="M39" s="208"/>
      <c r="N39" s="208"/>
      <c r="O39" s="207"/>
    </row>
    <row r="40" spans="1:15" s="210" customFormat="1" ht="11.25" customHeight="1">
      <c r="A40" s="211"/>
      <c r="B40" s="188"/>
      <c r="C40" s="657" t="s">
        <v>318</v>
      </c>
      <c r="D40" s="657"/>
      <c r="E40" s="658"/>
      <c r="F40" s="576">
        <f>SUM(H39,PRODUCT(SUM(J40,J42,J43),Stammdaten!H28))</f>
        <v>0</v>
      </c>
      <c r="G40" s="664" t="s">
        <v>90</v>
      </c>
      <c r="H40" s="665"/>
      <c r="I40" s="666"/>
      <c r="J40" s="204">
        <f>COUNTIF(J8:J38,"u")</f>
        <v>0</v>
      </c>
      <c r="K40" s="208"/>
      <c r="L40" s="208"/>
      <c r="M40" s="208"/>
      <c r="N40" s="208"/>
      <c r="O40" s="207"/>
    </row>
    <row r="41" spans="1:15" s="210" customFormat="1" ht="11.25" customHeight="1">
      <c r="A41" s="211"/>
      <c r="B41" s="592">
        <f>Ostern(gewJahr)</f>
        <v>43191</v>
      </c>
      <c r="C41" s="659" t="s">
        <v>117</v>
      </c>
      <c r="D41" s="659"/>
      <c r="E41" s="660"/>
      <c r="F41" s="282">
        <v>0</v>
      </c>
      <c r="G41" s="650" t="s">
        <v>115</v>
      </c>
      <c r="H41" s="651"/>
      <c r="I41" s="652"/>
      <c r="J41" s="205">
        <f>April!J41-J40</f>
        <v>25</v>
      </c>
      <c r="K41" s="208"/>
      <c r="L41" s="208"/>
      <c r="M41" s="208"/>
      <c r="N41" s="208"/>
      <c r="O41" s="207"/>
    </row>
    <row r="42" spans="1:15" s="210" customFormat="1" ht="11.25" customHeight="1">
      <c r="A42" s="211"/>
      <c r="B42" s="188"/>
      <c r="C42" s="615" t="s">
        <v>121</v>
      </c>
      <c r="D42" s="615"/>
      <c r="E42" s="661"/>
      <c r="F42" s="283">
        <v>0</v>
      </c>
      <c r="G42" s="664" t="s">
        <v>91</v>
      </c>
      <c r="H42" s="665"/>
      <c r="I42" s="666"/>
      <c r="J42" s="206">
        <f>COUNTIF(J8:J38,"k")</f>
        <v>0</v>
      </c>
      <c r="K42" s="193"/>
      <c r="L42" s="212"/>
      <c r="M42" s="197">
        <f>COUNTIF(M8:M38,"k")</f>
        <v>0</v>
      </c>
      <c r="N42" s="208"/>
      <c r="O42" s="207"/>
    </row>
    <row r="43" spans="1:15" s="210" customFormat="1" ht="11.25" customHeight="1">
      <c r="A43" s="211"/>
      <c r="B43" s="188"/>
      <c r="C43" s="662" t="s">
        <v>122</v>
      </c>
      <c r="D43" s="662"/>
      <c r="E43" s="663"/>
      <c r="F43" s="284">
        <v>0</v>
      </c>
      <c r="G43" s="664" t="s">
        <v>116</v>
      </c>
      <c r="H43" s="640"/>
      <c r="I43" s="640"/>
      <c r="J43" s="197">
        <f>COUNTIF(J8:J38,"nu")</f>
        <v>0</v>
      </c>
      <c r="K43" s="208"/>
      <c r="L43" s="208"/>
      <c r="M43" s="208"/>
      <c r="N43" s="208"/>
      <c r="O43" s="207"/>
    </row>
    <row r="44" spans="1:15" s="210" customFormat="1" ht="12.75">
      <c r="A44" s="211"/>
      <c r="B44" s="188"/>
      <c r="C44" s="615" t="str">
        <f>Stammdaten!$F$23</f>
        <v>Sonderschicht I</v>
      </c>
      <c r="D44" s="615"/>
      <c r="E44" s="661"/>
      <c r="F44" s="283">
        <v>0</v>
      </c>
      <c r="H44" s="81"/>
      <c r="I44" s="5"/>
      <c r="J44" s="5"/>
      <c r="K44" s="208"/>
      <c r="L44" s="208"/>
      <c r="M44" s="208"/>
      <c r="N44" s="208"/>
      <c r="O44" s="207"/>
    </row>
    <row r="45" spans="1:15" s="210" customFormat="1" ht="11.25">
      <c r="A45" s="211"/>
      <c r="B45" s="188"/>
      <c r="C45" s="615" t="str">
        <f>Stammdaten!$G$24</f>
        <v>Sonderschicht II</v>
      </c>
      <c r="D45" s="615"/>
      <c r="E45" s="661"/>
      <c r="F45" s="283">
        <v>0</v>
      </c>
      <c r="G45" s="193"/>
      <c r="H45" s="485"/>
      <c r="I45" s="492"/>
      <c r="J45" s="211"/>
      <c r="K45" s="208"/>
      <c r="L45" s="208"/>
      <c r="M45" s="208"/>
      <c r="N45" s="208"/>
      <c r="O45" s="207"/>
    </row>
    <row r="46" spans="1:14" ht="11.25" customHeight="1">
      <c r="A46" s="165"/>
      <c r="B46" s="182"/>
      <c r="C46" s="653" t="s">
        <v>183</v>
      </c>
      <c r="D46" s="653"/>
      <c r="E46" s="654"/>
      <c r="F46" s="274">
        <f>$I$39</f>
        <v>0</v>
      </c>
      <c r="G46" s="183"/>
      <c r="H46" s="81"/>
      <c r="I46" s="5"/>
      <c r="J46" s="5"/>
      <c r="K46" s="77"/>
      <c r="L46" s="65"/>
      <c r="M46" s="65"/>
      <c r="N46" s="65"/>
    </row>
    <row r="47" spans="2:12" ht="12.75">
      <c r="B47" s="182"/>
      <c r="C47" s="655" t="s">
        <v>33</v>
      </c>
      <c r="D47" s="655"/>
      <c r="E47" s="656"/>
      <c r="F47" s="564">
        <f>Arbeitszeitübersicht!D8/24</f>
        <v>0.4791666666666667</v>
      </c>
      <c r="G47" s="222"/>
      <c r="H47" s="81"/>
      <c r="I47" s="5"/>
      <c r="J47" s="5"/>
      <c r="K47" s="5"/>
      <c r="L47" s="4"/>
    </row>
    <row r="48" spans="2:14" ht="12.75">
      <c r="B48" s="4"/>
      <c r="C48" s="4"/>
      <c r="D48" s="4"/>
      <c r="E48" s="4"/>
      <c r="F48" s="4"/>
      <c r="H48" s="4"/>
      <c r="I48" s="102"/>
      <c r="J48" s="11"/>
      <c r="K48" s="11"/>
      <c r="L48" s="5"/>
      <c r="N48" s="101"/>
    </row>
    <row r="49" spans="2:12" ht="12.75">
      <c r="B49" s="5"/>
      <c r="C49" s="665"/>
      <c r="D49" s="665"/>
      <c r="E49" s="459" t="s">
        <v>251</v>
      </c>
      <c r="F49" s="460"/>
      <c r="G49" s="457"/>
      <c r="H49" s="458"/>
      <c r="I49" s="457"/>
      <c r="J49" s="457"/>
      <c r="K49" s="5"/>
      <c r="L49" s="4"/>
    </row>
    <row r="50" spans="2:12" ht="12.75">
      <c r="B50" s="5"/>
      <c r="C50" s="193"/>
      <c r="D50" s="193"/>
      <c r="E50" s="459"/>
      <c r="F50" s="459"/>
      <c r="G50" s="461"/>
      <c r="H50" s="65"/>
      <c r="I50" s="461"/>
      <c r="J50" s="461"/>
      <c r="K50" s="5"/>
      <c r="L50" s="4"/>
    </row>
    <row r="51" spans="2:13" ht="12.75">
      <c r="B51" s="4"/>
      <c r="C51" s="4"/>
      <c r="D51" s="5"/>
      <c r="E51" s="13"/>
      <c r="F51" s="669"/>
      <c r="G51" s="670"/>
      <c r="H51" s="670"/>
      <c r="I51" s="100"/>
      <c r="J51" s="100"/>
      <c r="K51" s="5"/>
      <c r="L51" s="5"/>
      <c r="M51" s="101"/>
    </row>
    <row r="52" spans="2:14" ht="12.75">
      <c r="B52" s="4"/>
      <c r="C52" s="4"/>
      <c r="D52" s="4"/>
      <c r="E52" s="5"/>
      <c r="F52" s="669"/>
      <c r="G52" s="670"/>
      <c r="H52" s="670"/>
      <c r="I52" s="81"/>
      <c r="J52" s="5"/>
      <c r="K52" s="5"/>
      <c r="L52" s="5"/>
      <c r="M52" s="101"/>
      <c r="N52" s="101"/>
    </row>
    <row r="53" spans="2:14" ht="12.75">
      <c r="B53" s="4"/>
      <c r="C53" s="4"/>
      <c r="D53" s="4"/>
      <c r="E53" s="4"/>
      <c r="F53" s="4"/>
      <c r="H53" s="4"/>
      <c r="I53" s="102"/>
      <c r="J53" s="11"/>
      <c r="K53" s="11"/>
      <c r="L53" s="5"/>
      <c r="N53" s="101"/>
    </row>
    <row r="54" spans="2:12" ht="12.75" hidden="1">
      <c r="B54" s="4"/>
      <c r="C54" s="4"/>
      <c r="D54" s="4"/>
      <c r="E54" s="4"/>
      <c r="F54" s="4"/>
      <c r="H54" s="102"/>
      <c r="I54" s="11"/>
      <c r="J54" s="11"/>
      <c r="K54" s="5"/>
      <c r="L54" s="4"/>
    </row>
    <row r="55" spans="2:12" ht="12.75" customHeight="1" hidden="1">
      <c r="B55" s="4"/>
      <c r="C55" s="4"/>
      <c r="D55" s="4"/>
      <c r="E55" s="5"/>
      <c r="F55" s="5"/>
      <c r="G55" s="5"/>
      <c r="H55" s="102"/>
      <c r="I55" s="11"/>
      <c r="J55" s="5"/>
      <c r="K55" s="5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5"/>
      <c r="D57" s="5"/>
      <c r="E57" s="11"/>
      <c r="F57" s="13"/>
      <c r="G57" s="13"/>
      <c r="H57" s="81"/>
      <c r="I57" s="4"/>
      <c r="J57" s="4"/>
      <c r="K57" s="4"/>
      <c r="L57" s="4"/>
    </row>
    <row r="58" spans="2:12" ht="12.75" hidden="1">
      <c r="B58" s="4"/>
      <c r="C58" s="5"/>
      <c r="D58" s="5"/>
      <c r="E58" s="5"/>
      <c r="F58" s="5"/>
      <c r="G58" s="5"/>
      <c r="H58" s="5"/>
      <c r="I58" s="5"/>
      <c r="J58" s="5"/>
      <c r="K58" s="4"/>
      <c r="L58" s="4"/>
    </row>
    <row r="59" spans="2:12" ht="12.75" hidden="1">
      <c r="B59" s="4"/>
      <c r="C59" s="4"/>
      <c r="D59" s="4"/>
      <c r="E59" s="4"/>
      <c r="F59" s="4"/>
      <c r="H59" s="4"/>
      <c r="I59" s="5"/>
      <c r="J59" s="5"/>
      <c r="K59" s="4"/>
      <c r="L59" s="4"/>
    </row>
    <row r="60" spans="2:12" ht="15.75" customHeight="1" hidden="1">
      <c r="B60" s="4"/>
      <c r="C60" s="4"/>
      <c r="D60" s="4"/>
      <c r="E60" s="4"/>
      <c r="F60" s="4"/>
      <c r="H60" s="4"/>
      <c r="I60" s="4"/>
      <c r="J60" s="4"/>
      <c r="L60" s="4"/>
    </row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</sheetData>
  <sheetProtection/>
  <mergeCells count="18">
    <mergeCell ref="J2:J6"/>
    <mergeCell ref="G41:I41"/>
    <mergeCell ref="B7:C7"/>
    <mergeCell ref="B4:C4"/>
    <mergeCell ref="G42:I42"/>
    <mergeCell ref="G43:I43"/>
    <mergeCell ref="C40:E40"/>
    <mergeCell ref="G40:I40"/>
    <mergeCell ref="C41:E41"/>
    <mergeCell ref="C42:E42"/>
    <mergeCell ref="F51:H51"/>
    <mergeCell ref="F52:H52"/>
    <mergeCell ref="C49:D49"/>
    <mergeCell ref="C45:E45"/>
    <mergeCell ref="C46:E46"/>
    <mergeCell ref="C47:E47"/>
    <mergeCell ref="C43:E43"/>
    <mergeCell ref="C44:E44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9:B38">
    <cfRule type="expression" priority="3" dxfId="10" stopIfTrue="1">
      <formula>OR($B9=$B$41+39,$B9=$B$41+49,$B9=$B$41+50,$B9=$B$41+60)</formula>
    </cfRule>
    <cfRule type="expression" priority="4" dxfId="0" stopIfTrue="1">
      <formula>WEEKDAY($B9)=1</formula>
    </cfRule>
    <cfRule type="expression" priority="5" dxfId="1" stopIfTrue="1">
      <formula>WEEKDAY($B9)=7</formula>
    </cfRule>
  </conditionalFormatting>
  <conditionalFormatting sqref="C9:C38">
    <cfRule type="expression" priority="6" dxfId="10" stopIfTrue="1">
      <formula>OR($B9=$B$41+39,$B9=$B$41+49,$B9=$B$41+50,$B9=$B$41+60)</formula>
    </cfRule>
    <cfRule type="expression" priority="7" dxfId="0" stopIfTrue="1">
      <formula>WEEKDAY($B9)=1</formula>
    </cfRule>
    <cfRule type="expression" priority="8" dxfId="1" stopIfTrue="1">
      <formula>WEEKDAY($B9)=7</formula>
    </cfRule>
  </conditionalFormatting>
  <conditionalFormatting sqref="D9:H38">
    <cfRule type="expression" priority="9" dxfId="10" stopIfTrue="1">
      <formula>OR($B9=$B$41+39,$B9=$B$41+49,$B9=$B$41+50,$B9=$B$41+60)</formula>
    </cfRule>
    <cfRule type="expression" priority="10" dxfId="1" stopIfTrue="1">
      <formula>WEEKDAY($B9)=7</formula>
    </cfRule>
    <cfRule type="expression" priority="11" dxfId="0" stopIfTrue="1">
      <formula>WEEKDAY($B9)=1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3"/>
  <dimension ref="A1:O60"/>
  <sheetViews>
    <sheetView defaultGridColor="0" zoomScalePageLayoutView="0" colorId="22" workbookViewId="0" topLeftCell="A6">
      <selection activeCell="F40" sqref="F40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3.8515625" style="0" customWidth="1"/>
    <col min="4" max="5" width="7.71093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4218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5" customHeight="1">
      <c r="B1" s="14"/>
      <c r="C1" s="14"/>
      <c r="D1" s="14"/>
      <c r="E1" s="14"/>
      <c r="F1" s="14"/>
      <c r="G1" s="14"/>
      <c r="H1" s="14"/>
      <c r="I1" s="14"/>
      <c r="J1" s="14"/>
      <c r="K1" s="153"/>
      <c r="L1" s="14"/>
      <c r="M1" s="14"/>
      <c r="N1" s="14"/>
    </row>
    <row r="2" spans="2:14" ht="15" customHeight="1">
      <c r="B2" s="446" t="str">
        <f>"Arbeitszeitachweis Juni "&amp;gewJahr</f>
        <v>Arbeitszeitachweis Juni 2018</v>
      </c>
      <c r="C2" s="447"/>
      <c r="D2" s="447"/>
      <c r="E2" s="447"/>
      <c r="F2" s="447"/>
      <c r="G2" s="446"/>
      <c r="H2" s="446"/>
      <c r="I2" s="446"/>
      <c r="J2" s="667" t="s">
        <v>92</v>
      </c>
      <c r="K2" s="13"/>
      <c r="L2" s="63"/>
      <c r="M2" s="14"/>
      <c r="N2" s="14"/>
    </row>
    <row r="3" spans="2:14" ht="15" customHeight="1">
      <c r="B3" s="484" t="s">
        <v>124</v>
      </c>
      <c r="C3" s="456" t="str">
        <f>Stammdaten!$B$6</f>
        <v>Mustermann, Hans</v>
      </c>
      <c r="D3" s="449"/>
      <c r="E3" s="449"/>
      <c r="F3" s="450"/>
      <c r="G3" s="450"/>
      <c r="H3" s="445"/>
      <c r="I3" s="451"/>
      <c r="J3" s="643"/>
      <c r="K3" s="14"/>
      <c r="L3" s="13"/>
      <c r="M3" s="13"/>
      <c r="N3" s="13"/>
    </row>
    <row r="4" spans="2:14" ht="15" customHeight="1" hidden="1">
      <c r="B4" s="671"/>
      <c r="C4" s="671"/>
      <c r="D4" s="448"/>
      <c r="E4" s="449"/>
      <c r="F4" s="449"/>
      <c r="G4" s="450"/>
      <c r="H4" s="14"/>
      <c r="I4" s="14"/>
      <c r="J4" s="643"/>
      <c r="K4" s="4"/>
      <c r="L4" s="14"/>
      <c r="M4" s="14"/>
      <c r="N4" s="14"/>
    </row>
    <row r="5" spans="2:12" ht="12.75" customHeight="1" hidden="1">
      <c r="B5" s="4"/>
      <c r="C5" s="66"/>
      <c r="D5" s="4"/>
      <c r="E5" s="4"/>
      <c r="F5" s="4"/>
      <c r="H5" s="4"/>
      <c r="I5" s="4"/>
      <c r="J5" s="643"/>
      <c r="K5" s="5"/>
      <c r="L5" s="4"/>
    </row>
    <row r="6" spans="2:14" ht="12.75" customHeight="1">
      <c r="B6" s="43"/>
      <c r="C6" s="43"/>
      <c r="D6" s="43"/>
      <c r="E6" s="43"/>
      <c r="F6" s="43"/>
      <c r="G6" s="43"/>
      <c r="H6" s="43"/>
      <c r="I6" s="43"/>
      <c r="J6" s="668"/>
      <c r="K6" s="78"/>
      <c r="L6" s="5"/>
      <c r="M6" s="5"/>
      <c r="N6" s="5"/>
    </row>
    <row r="7" spans="2:14" ht="23.25" customHeight="1">
      <c r="B7" s="648" t="s">
        <v>38</v>
      </c>
      <c r="C7" s="649"/>
      <c r="D7" s="453" t="s">
        <v>247</v>
      </c>
      <c r="E7" s="454" t="s">
        <v>248</v>
      </c>
      <c r="F7" s="455" t="s">
        <v>249</v>
      </c>
      <c r="G7" s="455" t="s">
        <v>250</v>
      </c>
      <c r="H7" s="177" t="s">
        <v>65</v>
      </c>
      <c r="I7" s="178" t="s">
        <v>39</v>
      </c>
      <c r="J7" s="179" t="s">
        <v>89</v>
      </c>
      <c r="K7" s="79"/>
      <c r="L7" s="78"/>
      <c r="M7" s="78"/>
      <c r="N7" s="78"/>
    </row>
    <row r="8" spans="2:14" ht="12" customHeight="1">
      <c r="B8" s="198">
        <f>DATE(gewJahr,6,1)</f>
        <v>43252</v>
      </c>
      <c r="C8" s="199">
        <f aca="true" t="shared" si="0" ref="C8:C37">WEEKDAY(B8)</f>
        <v>6</v>
      </c>
      <c r="D8" s="200">
        <v>0</v>
      </c>
      <c r="E8" s="200">
        <v>0</v>
      </c>
      <c r="F8" s="463">
        <f aca="true" t="shared" si="1" ref="F8:F37">MAX(IF(D8&lt;=E8,E8-D8,"24:00"-D8+E8)-G8,0)</f>
        <v>0</v>
      </c>
      <c r="G8" s="200"/>
      <c r="H8" s="269">
        <f>IF(F8-I8&gt;0,F8-I8,0)</f>
        <v>0</v>
      </c>
      <c r="I8" s="271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197"/>
      <c r="K8" s="208"/>
      <c r="L8" s="79"/>
      <c r="M8" s="79"/>
      <c r="N8" s="79"/>
    </row>
    <row r="9" spans="2:14" ht="12" customHeight="1">
      <c r="B9" s="198">
        <f aca="true" t="shared" si="2" ref="B9:B37">B8+1</f>
        <v>43253</v>
      </c>
      <c r="C9" s="199">
        <f t="shared" si="0"/>
        <v>7</v>
      </c>
      <c r="D9" s="200">
        <v>0</v>
      </c>
      <c r="E9" s="200">
        <v>0</v>
      </c>
      <c r="F9" s="463">
        <f t="shared" si="1"/>
        <v>0</v>
      </c>
      <c r="G9" s="200"/>
      <c r="H9" s="269">
        <f aca="true" t="shared" si="3" ref="H9:H37">IF(F9-I9&gt;0,F9-I9,0)</f>
        <v>0</v>
      </c>
      <c r="I9" s="271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197"/>
      <c r="K9" s="208"/>
      <c r="L9" s="65"/>
      <c r="M9" s="65"/>
      <c r="N9" s="65"/>
    </row>
    <row r="10" spans="2:14" ht="12" customHeight="1">
      <c r="B10" s="198">
        <f t="shared" si="2"/>
        <v>43254</v>
      </c>
      <c r="C10" s="199">
        <f t="shared" si="0"/>
        <v>1</v>
      </c>
      <c r="D10" s="200">
        <v>0</v>
      </c>
      <c r="E10" s="200">
        <v>0</v>
      </c>
      <c r="F10" s="463">
        <f t="shared" si="1"/>
        <v>0</v>
      </c>
      <c r="G10" s="200"/>
      <c r="H10" s="269">
        <f t="shared" si="3"/>
        <v>0</v>
      </c>
      <c r="I10" s="271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197"/>
      <c r="K10" s="208"/>
      <c r="L10" s="65"/>
      <c r="M10" s="65"/>
      <c r="N10" s="65"/>
    </row>
    <row r="11" spans="2:14" ht="12" customHeight="1">
      <c r="B11" s="198">
        <f t="shared" si="2"/>
        <v>43255</v>
      </c>
      <c r="C11" s="199">
        <f t="shared" si="0"/>
        <v>2</v>
      </c>
      <c r="D11" s="200">
        <v>0</v>
      </c>
      <c r="E11" s="200">
        <v>0</v>
      </c>
      <c r="F11" s="463">
        <f t="shared" si="1"/>
        <v>0</v>
      </c>
      <c r="G11" s="200"/>
      <c r="H11" s="269">
        <f t="shared" si="3"/>
        <v>0</v>
      </c>
      <c r="I11" s="271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197"/>
      <c r="K11" s="208"/>
      <c r="L11" s="65"/>
      <c r="M11" s="65"/>
      <c r="N11" s="65"/>
    </row>
    <row r="12" spans="2:14" ht="12" customHeight="1">
      <c r="B12" s="198">
        <f t="shared" si="2"/>
        <v>43256</v>
      </c>
      <c r="C12" s="199">
        <f t="shared" si="0"/>
        <v>3</v>
      </c>
      <c r="D12" s="200">
        <v>0</v>
      </c>
      <c r="E12" s="200">
        <v>0</v>
      </c>
      <c r="F12" s="463">
        <f t="shared" si="1"/>
        <v>0</v>
      </c>
      <c r="G12" s="200"/>
      <c r="H12" s="269">
        <f t="shared" si="3"/>
        <v>0</v>
      </c>
      <c r="I12" s="271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197"/>
      <c r="K12" s="209"/>
      <c r="L12" s="65"/>
      <c r="M12" s="65"/>
      <c r="N12" s="65"/>
    </row>
    <row r="13" spans="2:14" ht="12" customHeight="1">
      <c r="B13" s="198">
        <f t="shared" si="2"/>
        <v>43257</v>
      </c>
      <c r="C13" s="199">
        <f t="shared" si="0"/>
        <v>4</v>
      </c>
      <c r="D13" s="200">
        <v>0</v>
      </c>
      <c r="E13" s="200">
        <v>0</v>
      </c>
      <c r="F13" s="463">
        <f t="shared" si="1"/>
        <v>0</v>
      </c>
      <c r="G13" s="200"/>
      <c r="H13" s="269">
        <f t="shared" si="3"/>
        <v>0</v>
      </c>
      <c r="I13" s="271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197"/>
      <c r="K13" s="208"/>
      <c r="L13" s="79"/>
      <c r="M13" s="65"/>
      <c r="N13" s="65"/>
    </row>
    <row r="14" spans="2:14" ht="12" customHeight="1">
      <c r="B14" s="198">
        <f t="shared" si="2"/>
        <v>43258</v>
      </c>
      <c r="C14" s="199">
        <f t="shared" si="0"/>
        <v>5</v>
      </c>
      <c r="D14" s="200">
        <v>0</v>
      </c>
      <c r="E14" s="200">
        <v>0</v>
      </c>
      <c r="F14" s="463">
        <f t="shared" si="1"/>
        <v>0</v>
      </c>
      <c r="G14" s="200"/>
      <c r="H14" s="269">
        <f t="shared" si="3"/>
        <v>0</v>
      </c>
      <c r="I14" s="271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197"/>
      <c r="K14" s="208"/>
      <c r="L14" s="65"/>
      <c r="M14" s="65"/>
      <c r="N14" s="65"/>
    </row>
    <row r="15" spans="2:14" ht="12" customHeight="1">
      <c r="B15" s="198">
        <f t="shared" si="2"/>
        <v>43259</v>
      </c>
      <c r="C15" s="199">
        <f t="shared" si="0"/>
        <v>6</v>
      </c>
      <c r="D15" s="200">
        <v>0</v>
      </c>
      <c r="E15" s="200">
        <v>0</v>
      </c>
      <c r="F15" s="463">
        <f t="shared" si="1"/>
        <v>0</v>
      </c>
      <c r="G15" s="200"/>
      <c r="H15" s="269">
        <f t="shared" si="3"/>
        <v>0</v>
      </c>
      <c r="I15" s="271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197"/>
      <c r="K15" s="208"/>
      <c r="L15" s="65"/>
      <c r="M15" s="65"/>
      <c r="N15" s="65"/>
    </row>
    <row r="16" spans="2:14" ht="12" customHeight="1">
      <c r="B16" s="198">
        <f t="shared" si="2"/>
        <v>43260</v>
      </c>
      <c r="C16" s="199">
        <f t="shared" si="0"/>
        <v>7</v>
      </c>
      <c r="D16" s="200">
        <v>0</v>
      </c>
      <c r="E16" s="200">
        <v>0</v>
      </c>
      <c r="F16" s="463">
        <f t="shared" si="1"/>
        <v>0</v>
      </c>
      <c r="G16" s="200"/>
      <c r="H16" s="269">
        <f t="shared" si="3"/>
        <v>0</v>
      </c>
      <c r="I16" s="271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197"/>
      <c r="K16" s="208"/>
      <c r="L16" s="65"/>
      <c r="M16" s="65"/>
      <c r="N16" s="65"/>
    </row>
    <row r="17" spans="2:14" ht="12" customHeight="1">
      <c r="B17" s="198">
        <f t="shared" si="2"/>
        <v>43261</v>
      </c>
      <c r="C17" s="199">
        <f t="shared" si="0"/>
        <v>1</v>
      </c>
      <c r="D17" s="200">
        <v>0</v>
      </c>
      <c r="E17" s="200">
        <v>0</v>
      </c>
      <c r="F17" s="463">
        <f t="shared" si="1"/>
        <v>0</v>
      </c>
      <c r="G17" s="200"/>
      <c r="H17" s="269">
        <f t="shared" si="3"/>
        <v>0</v>
      </c>
      <c r="I17" s="271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197"/>
      <c r="K17" s="208"/>
      <c r="L17" s="65"/>
      <c r="M17" s="65"/>
      <c r="N17" s="65"/>
    </row>
    <row r="18" spans="2:14" ht="12" customHeight="1">
      <c r="B18" s="198">
        <f t="shared" si="2"/>
        <v>43262</v>
      </c>
      <c r="C18" s="199">
        <f t="shared" si="0"/>
        <v>2</v>
      </c>
      <c r="D18" s="200">
        <v>0</v>
      </c>
      <c r="E18" s="200">
        <v>0</v>
      </c>
      <c r="F18" s="463">
        <f t="shared" si="1"/>
        <v>0</v>
      </c>
      <c r="G18" s="200"/>
      <c r="H18" s="269">
        <f t="shared" si="3"/>
        <v>0</v>
      </c>
      <c r="I18" s="271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197"/>
      <c r="K18" s="208"/>
      <c r="L18" s="65"/>
      <c r="M18" s="65"/>
      <c r="N18" s="65"/>
    </row>
    <row r="19" spans="2:14" ht="12" customHeight="1">
      <c r="B19" s="198">
        <f t="shared" si="2"/>
        <v>43263</v>
      </c>
      <c r="C19" s="199">
        <f t="shared" si="0"/>
        <v>3</v>
      </c>
      <c r="D19" s="200">
        <v>0</v>
      </c>
      <c r="E19" s="200">
        <v>0</v>
      </c>
      <c r="F19" s="463">
        <f t="shared" si="1"/>
        <v>0</v>
      </c>
      <c r="G19" s="200"/>
      <c r="H19" s="269">
        <f t="shared" si="3"/>
        <v>0</v>
      </c>
      <c r="I19" s="271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197"/>
      <c r="K19" s="208"/>
      <c r="L19" s="65"/>
      <c r="M19" s="65"/>
      <c r="N19" s="65"/>
    </row>
    <row r="20" spans="2:14" ht="12" customHeight="1">
      <c r="B20" s="198">
        <f t="shared" si="2"/>
        <v>43264</v>
      </c>
      <c r="C20" s="199">
        <f t="shared" si="0"/>
        <v>4</v>
      </c>
      <c r="D20" s="200">
        <v>0</v>
      </c>
      <c r="E20" s="200">
        <v>0</v>
      </c>
      <c r="F20" s="463">
        <f t="shared" si="1"/>
        <v>0</v>
      </c>
      <c r="G20" s="200"/>
      <c r="H20" s="269">
        <f t="shared" si="3"/>
        <v>0</v>
      </c>
      <c r="I20" s="271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197"/>
      <c r="K20" s="208"/>
      <c r="L20" s="65"/>
      <c r="M20" s="65"/>
      <c r="N20" s="65"/>
    </row>
    <row r="21" spans="2:14" ht="12" customHeight="1">
      <c r="B21" s="198">
        <f t="shared" si="2"/>
        <v>43265</v>
      </c>
      <c r="C21" s="199">
        <f t="shared" si="0"/>
        <v>5</v>
      </c>
      <c r="D21" s="200">
        <v>0</v>
      </c>
      <c r="E21" s="200">
        <v>0</v>
      </c>
      <c r="F21" s="463">
        <f t="shared" si="1"/>
        <v>0</v>
      </c>
      <c r="G21" s="200"/>
      <c r="H21" s="269">
        <f t="shared" si="3"/>
        <v>0</v>
      </c>
      <c r="I21" s="271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197"/>
      <c r="K21" s="208"/>
      <c r="L21" s="65"/>
      <c r="M21" s="65"/>
      <c r="N21" s="65"/>
    </row>
    <row r="22" spans="2:14" ht="12" customHeight="1">
      <c r="B22" s="198">
        <f t="shared" si="2"/>
        <v>43266</v>
      </c>
      <c r="C22" s="199">
        <f t="shared" si="0"/>
        <v>6</v>
      </c>
      <c r="D22" s="200">
        <v>0</v>
      </c>
      <c r="E22" s="200">
        <v>0</v>
      </c>
      <c r="F22" s="463">
        <f t="shared" si="1"/>
        <v>0</v>
      </c>
      <c r="G22" s="200"/>
      <c r="H22" s="269">
        <f t="shared" si="3"/>
        <v>0</v>
      </c>
      <c r="I22" s="271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197"/>
      <c r="K22" s="208"/>
      <c r="L22" s="65"/>
      <c r="M22" s="65"/>
      <c r="N22" s="65"/>
    </row>
    <row r="23" spans="2:14" ht="12" customHeight="1">
      <c r="B23" s="198">
        <f t="shared" si="2"/>
        <v>43267</v>
      </c>
      <c r="C23" s="199">
        <f t="shared" si="0"/>
        <v>7</v>
      </c>
      <c r="D23" s="200">
        <v>0</v>
      </c>
      <c r="E23" s="200">
        <v>0</v>
      </c>
      <c r="F23" s="463">
        <f t="shared" si="1"/>
        <v>0</v>
      </c>
      <c r="G23" s="200"/>
      <c r="H23" s="269">
        <f t="shared" si="3"/>
        <v>0</v>
      </c>
      <c r="I23" s="271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197"/>
      <c r="K23" s="208"/>
      <c r="L23" s="65"/>
      <c r="M23" s="65"/>
      <c r="N23" s="65"/>
    </row>
    <row r="24" spans="2:14" ht="12" customHeight="1">
      <c r="B24" s="198">
        <f t="shared" si="2"/>
        <v>43268</v>
      </c>
      <c r="C24" s="199">
        <f t="shared" si="0"/>
        <v>1</v>
      </c>
      <c r="D24" s="200">
        <v>0</v>
      </c>
      <c r="E24" s="200">
        <v>0</v>
      </c>
      <c r="F24" s="463">
        <f t="shared" si="1"/>
        <v>0</v>
      </c>
      <c r="G24" s="200"/>
      <c r="H24" s="269">
        <f t="shared" si="3"/>
        <v>0</v>
      </c>
      <c r="I24" s="271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197"/>
      <c r="K24" s="208"/>
      <c r="L24" s="65"/>
      <c r="M24" s="65"/>
      <c r="N24" s="65"/>
    </row>
    <row r="25" spans="2:14" ht="12" customHeight="1">
      <c r="B25" s="198">
        <f t="shared" si="2"/>
        <v>43269</v>
      </c>
      <c r="C25" s="199">
        <f t="shared" si="0"/>
        <v>2</v>
      </c>
      <c r="D25" s="200">
        <v>0</v>
      </c>
      <c r="E25" s="200">
        <v>0</v>
      </c>
      <c r="F25" s="463">
        <f t="shared" si="1"/>
        <v>0</v>
      </c>
      <c r="G25" s="200"/>
      <c r="H25" s="269">
        <f t="shared" si="3"/>
        <v>0</v>
      </c>
      <c r="I25" s="271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197"/>
      <c r="K25" s="208"/>
      <c r="L25" s="65"/>
      <c r="M25" s="65"/>
      <c r="N25" s="65"/>
    </row>
    <row r="26" spans="2:14" ht="12" customHeight="1">
      <c r="B26" s="198">
        <f t="shared" si="2"/>
        <v>43270</v>
      </c>
      <c r="C26" s="199">
        <f t="shared" si="0"/>
        <v>3</v>
      </c>
      <c r="D26" s="200">
        <v>0</v>
      </c>
      <c r="E26" s="200">
        <v>0</v>
      </c>
      <c r="F26" s="463">
        <f t="shared" si="1"/>
        <v>0</v>
      </c>
      <c r="G26" s="200"/>
      <c r="H26" s="269">
        <f t="shared" si="3"/>
        <v>0</v>
      </c>
      <c r="I26" s="271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197"/>
      <c r="K26" s="208"/>
      <c r="L26" s="65"/>
      <c r="M26" s="65"/>
      <c r="N26" s="65"/>
    </row>
    <row r="27" spans="2:14" ht="12" customHeight="1">
      <c r="B27" s="198">
        <f t="shared" si="2"/>
        <v>43271</v>
      </c>
      <c r="C27" s="199">
        <f t="shared" si="0"/>
        <v>4</v>
      </c>
      <c r="D27" s="200">
        <v>0</v>
      </c>
      <c r="E27" s="200">
        <v>0</v>
      </c>
      <c r="F27" s="463">
        <f t="shared" si="1"/>
        <v>0</v>
      </c>
      <c r="G27" s="200"/>
      <c r="H27" s="269">
        <f t="shared" si="3"/>
        <v>0</v>
      </c>
      <c r="I27" s="271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197"/>
      <c r="K27" s="208"/>
      <c r="L27" s="65"/>
      <c r="M27" s="65"/>
      <c r="N27" s="65"/>
    </row>
    <row r="28" spans="2:14" ht="12" customHeight="1">
      <c r="B28" s="198">
        <f t="shared" si="2"/>
        <v>43272</v>
      </c>
      <c r="C28" s="199">
        <f t="shared" si="0"/>
        <v>5</v>
      </c>
      <c r="D28" s="200">
        <v>0</v>
      </c>
      <c r="E28" s="200">
        <v>0</v>
      </c>
      <c r="F28" s="463">
        <f t="shared" si="1"/>
        <v>0</v>
      </c>
      <c r="G28" s="200"/>
      <c r="H28" s="269">
        <f t="shared" si="3"/>
        <v>0</v>
      </c>
      <c r="I28" s="271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197"/>
      <c r="K28" s="208"/>
      <c r="L28" s="65"/>
      <c r="M28" s="65"/>
      <c r="N28" s="65"/>
    </row>
    <row r="29" spans="2:14" ht="12" customHeight="1">
      <c r="B29" s="198">
        <f t="shared" si="2"/>
        <v>43273</v>
      </c>
      <c r="C29" s="199">
        <f t="shared" si="0"/>
        <v>6</v>
      </c>
      <c r="D29" s="200">
        <v>0</v>
      </c>
      <c r="E29" s="200">
        <v>0</v>
      </c>
      <c r="F29" s="463">
        <f t="shared" si="1"/>
        <v>0</v>
      </c>
      <c r="G29" s="200"/>
      <c r="H29" s="269">
        <f t="shared" si="3"/>
        <v>0</v>
      </c>
      <c r="I29" s="271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197"/>
      <c r="K29" s="208"/>
      <c r="L29" s="65"/>
      <c r="M29" s="65"/>
      <c r="N29" s="65"/>
    </row>
    <row r="30" spans="2:14" ht="12" customHeight="1">
      <c r="B30" s="198">
        <f t="shared" si="2"/>
        <v>43274</v>
      </c>
      <c r="C30" s="199">
        <f t="shared" si="0"/>
        <v>7</v>
      </c>
      <c r="D30" s="200">
        <v>0</v>
      </c>
      <c r="E30" s="200">
        <v>0</v>
      </c>
      <c r="F30" s="463">
        <f t="shared" si="1"/>
        <v>0</v>
      </c>
      <c r="G30" s="200"/>
      <c r="H30" s="269">
        <f t="shared" si="3"/>
        <v>0</v>
      </c>
      <c r="I30" s="271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197"/>
      <c r="K30" s="208"/>
      <c r="L30" s="65"/>
      <c r="M30" s="65"/>
      <c r="N30" s="65"/>
    </row>
    <row r="31" spans="2:14" ht="12" customHeight="1">
      <c r="B31" s="198">
        <f t="shared" si="2"/>
        <v>43275</v>
      </c>
      <c r="C31" s="199">
        <f t="shared" si="0"/>
        <v>1</v>
      </c>
      <c r="D31" s="200">
        <v>0</v>
      </c>
      <c r="E31" s="200">
        <v>0</v>
      </c>
      <c r="F31" s="463">
        <f t="shared" si="1"/>
        <v>0</v>
      </c>
      <c r="G31" s="200"/>
      <c r="H31" s="269">
        <f t="shared" si="3"/>
        <v>0</v>
      </c>
      <c r="I31" s="271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197"/>
      <c r="K31" s="208"/>
      <c r="L31" s="65"/>
      <c r="M31" s="65"/>
      <c r="N31" s="65"/>
    </row>
    <row r="32" spans="2:14" ht="12" customHeight="1">
      <c r="B32" s="198">
        <f t="shared" si="2"/>
        <v>43276</v>
      </c>
      <c r="C32" s="199">
        <f t="shared" si="0"/>
        <v>2</v>
      </c>
      <c r="D32" s="200">
        <v>0</v>
      </c>
      <c r="E32" s="200">
        <v>0</v>
      </c>
      <c r="F32" s="463">
        <f t="shared" si="1"/>
        <v>0</v>
      </c>
      <c r="G32" s="200"/>
      <c r="H32" s="269">
        <f t="shared" si="3"/>
        <v>0</v>
      </c>
      <c r="I32" s="271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197"/>
      <c r="K32" s="208"/>
      <c r="L32" s="65"/>
      <c r="M32" s="65"/>
      <c r="N32" s="65"/>
    </row>
    <row r="33" spans="2:14" ht="12" customHeight="1">
      <c r="B33" s="198">
        <f t="shared" si="2"/>
        <v>43277</v>
      </c>
      <c r="C33" s="199">
        <f t="shared" si="0"/>
        <v>3</v>
      </c>
      <c r="D33" s="200">
        <v>0</v>
      </c>
      <c r="E33" s="200">
        <v>0</v>
      </c>
      <c r="F33" s="463">
        <f t="shared" si="1"/>
        <v>0</v>
      </c>
      <c r="G33" s="200"/>
      <c r="H33" s="269">
        <f t="shared" si="3"/>
        <v>0</v>
      </c>
      <c r="I33" s="271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197"/>
      <c r="K33" s="208"/>
      <c r="L33" s="65"/>
      <c r="M33" s="65"/>
      <c r="N33" s="65"/>
    </row>
    <row r="34" spans="2:14" ht="12" customHeight="1">
      <c r="B34" s="198">
        <f t="shared" si="2"/>
        <v>43278</v>
      </c>
      <c r="C34" s="199">
        <f t="shared" si="0"/>
        <v>4</v>
      </c>
      <c r="D34" s="200">
        <v>0</v>
      </c>
      <c r="E34" s="200">
        <v>0</v>
      </c>
      <c r="F34" s="463">
        <f t="shared" si="1"/>
        <v>0</v>
      </c>
      <c r="G34" s="200"/>
      <c r="H34" s="269">
        <f t="shared" si="3"/>
        <v>0</v>
      </c>
      <c r="I34" s="271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197"/>
      <c r="K34" s="208"/>
      <c r="L34" s="65"/>
      <c r="M34" s="65"/>
      <c r="N34" s="65"/>
    </row>
    <row r="35" spans="2:14" ht="12" customHeight="1">
      <c r="B35" s="198">
        <f t="shared" si="2"/>
        <v>43279</v>
      </c>
      <c r="C35" s="199">
        <f t="shared" si="0"/>
        <v>5</v>
      </c>
      <c r="D35" s="200">
        <v>0</v>
      </c>
      <c r="E35" s="200">
        <v>0</v>
      </c>
      <c r="F35" s="463">
        <f t="shared" si="1"/>
        <v>0</v>
      </c>
      <c r="G35" s="200"/>
      <c r="H35" s="269">
        <f t="shared" si="3"/>
        <v>0</v>
      </c>
      <c r="I35" s="271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197"/>
      <c r="K35" s="208"/>
      <c r="L35" s="65"/>
      <c r="M35" s="65"/>
      <c r="N35" s="65"/>
    </row>
    <row r="36" spans="2:14" ht="12" customHeight="1">
      <c r="B36" s="198">
        <f t="shared" si="2"/>
        <v>43280</v>
      </c>
      <c r="C36" s="199">
        <f t="shared" si="0"/>
        <v>6</v>
      </c>
      <c r="D36" s="200">
        <v>0</v>
      </c>
      <c r="E36" s="200">
        <v>0</v>
      </c>
      <c r="F36" s="463">
        <f t="shared" si="1"/>
        <v>0</v>
      </c>
      <c r="G36" s="200"/>
      <c r="H36" s="269">
        <f t="shared" si="3"/>
        <v>0</v>
      </c>
      <c r="I36" s="271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197"/>
      <c r="K36" s="208"/>
      <c r="L36" s="65"/>
      <c r="M36" s="65"/>
      <c r="N36" s="65"/>
    </row>
    <row r="37" spans="2:14" ht="12" customHeight="1">
      <c r="B37" s="198">
        <f t="shared" si="2"/>
        <v>43281</v>
      </c>
      <c r="C37" s="199">
        <f t="shared" si="0"/>
        <v>7</v>
      </c>
      <c r="D37" s="200">
        <v>0</v>
      </c>
      <c r="E37" s="200">
        <v>0</v>
      </c>
      <c r="F37" s="463">
        <f t="shared" si="1"/>
        <v>0</v>
      </c>
      <c r="G37" s="200"/>
      <c r="H37" s="269">
        <f t="shared" si="3"/>
        <v>0</v>
      </c>
      <c r="I37" s="271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197"/>
      <c r="K37" s="208"/>
      <c r="L37" s="65"/>
      <c r="M37" s="65"/>
      <c r="N37" s="65"/>
    </row>
    <row r="38" spans="2:14" ht="12" customHeight="1">
      <c r="B38" s="198"/>
      <c r="C38" s="199"/>
      <c r="D38" s="200">
        <v>0</v>
      </c>
      <c r="E38" s="200">
        <v>0</v>
      </c>
      <c r="F38" s="463"/>
      <c r="G38" s="200"/>
      <c r="H38" s="203"/>
      <c r="I38" s="196"/>
      <c r="J38" s="244"/>
      <c r="K38" s="208"/>
      <c r="L38" s="65"/>
      <c r="M38" s="65"/>
      <c r="N38" s="65"/>
    </row>
    <row r="39" spans="1:14" ht="12" customHeight="1">
      <c r="A39" s="165"/>
      <c r="B39" s="188"/>
      <c r="C39" s="188"/>
      <c r="D39" s="577" t="s">
        <v>88</v>
      </c>
      <c r="E39" s="578"/>
      <c r="F39" s="270">
        <f>SUM(F7:F38)</f>
        <v>0</v>
      </c>
      <c r="G39" s="281"/>
      <c r="H39" s="270">
        <f>SUM(H8:H38)</f>
        <v>0</v>
      </c>
      <c r="I39" s="272">
        <f>SUM(I8:I38)</f>
        <v>0</v>
      </c>
      <c r="J39" s="244"/>
      <c r="K39" s="208"/>
      <c r="L39" s="65"/>
      <c r="M39" s="65"/>
      <c r="N39" s="65"/>
    </row>
    <row r="40" spans="1:14" ht="12" customHeight="1">
      <c r="A40" s="165"/>
      <c r="B40" s="188"/>
      <c r="C40" s="657" t="s">
        <v>318</v>
      </c>
      <c r="D40" s="657"/>
      <c r="E40" s="658"/>
      <c r="F40" s="576">
        <f>SUM(H39,PRODUCT(SUM(J40,J42,J43),Stammdaten!H28))</f>
        <v>0</v>
      </c>
      <c r="G40" s="664" t="s">
        <v>90</v>
      </c>
      <c r="H40" s="665"/>
      <c r="I40" s="666"/>
      <c r="J40" s="204">
        <f>COUNTIF(J8:J38,"u")</f>
        <v>0</v>
      </c>
      <c r="K40" s="208"/>
      <c r="L40" s="65"/>
      <c r="M40" s="65"/>
      <c r="N40" s="65"/>
    </row>
    <row r="41" spans="1:14" ht="12" customHeight="1">
      <c r="A41" s="165"/>
      <c r="B41" s="188"/>
      <c r="C41" s="659" t="s">
        <v>117</v>
      </c>
      <c r="D41" s="659"/>
      <c r="E41" s="660"/>
      <c r="F41" s="282">
        <v>0</v>
      </c>
      <c r="G41" s="650" t="s">
        <v>115</v>
      </c>
      <c r="H41" s="651"/>
      <c r="I41" s="652"/>
      <c r="J41" s="205">
        <f>Mai!J41-J40</f>
        <v>25</v>
      </c>
      <c r="K41" s="208"/>
      <c r="L41" s="65"/>
      <c r="M41" s="65"/>
      <c r="N41" s="65"/>
    </row>
    <row r="42" spans="1:14" ht="12" customHeight="1">
      <c r="A42" s="165"/>
      <c r="B42" s="188"/>
      <c r="C42" s="615" t="s">
        <v>121</v>
      </c>
      <c r="D42" s="615"/>
      <c r="E42" s="661"/>
      <c r="F42" s="283">
        <v>0</v>
      </c>
      <c r="G42" s="664" t="s">
        <v>91</v>
      </c>
      <c r="H42" s="665"/>
      <c r="I42" s="666"/>
      <c r="J42" s="206">
        <f>COUNTIF(J8:J38,"k")</f>
        <v>0</v>
      </c>
      <c r="K42" s="193"/>
      <c r="L42" s="176"/>
      <c r="M42" s="82">
        <f>COUNTIF(M8:M38,"k")</f>
        <v>0</v>
      </c>
      <c r="N42" s="65"/>
    </row>
    <row r="43" spans="1:14" ht="12" customHeight="1">
      <c r="A43" s="165"/>
      <c r="B43" s="188"/>
      <c r="C43" s="662" t="s">
        <v>122</v>
      </c>
      <c r="D43" s="662"/>
      <c r="E43" s="663"/>
      <c r="F43" s="284">
        <v>0</v>
      </c>
      <c r="G43" s="664" t="s">
        <v>116</v>
      </c>
      <c r="H43" s="640"/>
      <c r="I43" s="640"/>
      <c r="J43" s="197">
        <f>COUNTIF(J8:J38,"nu")</f>
        <v>0</v>
      </c>
      <c r="K43" s="208"/>
      <c r="L43" s="65"/>
      <c r="M43" s="65"/>
      <c r="N43" s="65"/>
    </row>
    <row r="44" spans="1:15" s="210" customFormat="1" ht="12.75">
      <c r="A44" s="211"/>
      <c r="B44" s="188"/>
      <c r="C44" s="615" t="str">
        <f>Stammdaten!$F$23</f>
        <v>Sonderschicht I</v>
      </c>
      <c r="D44" s="615"/>
      <c r="E44" s="661"/>
      <c r="F44" s="283">
        <v>0</v>
      </c>
      <c r="H44" s="81"/>
      <c r="I44" s="5"/>
      <c r="J44" s="5"/>
      <c r="K44" s="208"/>
      <c r="L44" s="208"/>
      <c r="M44" s="208"/>
      <c r="N44" s="208"/>
      <c r="O44" s="207"/>
    </row>
    <row r="45" spans="1:15" s="210" customFormat="1" ht="11.25">
      <c r="A45" s="211"/>
      <c r="B45" s="188"/>
      <c r="C45" s="615" t="str">
        <f>Stammdaten!$G$24</f>
        <v>Sonderschicht II</v>
      </c>
      <c r="D45" s="615"/>
      <c r="E45" s="661"/>
      <c r="F45" s="283">
        <v>0</v>
      </c>
      <c r="G45" s="193"/>
      <c r="H45" s="485"/>
      <c r="I45" s="492"/>
      <c r="J45" s="211"/>
      <c r="K45" s="208"/>
      <c r="L45" s="208"/>
      <c r="M45" s="208"/>
      <c r="N45" s="208"/>
      <c r="O45" s="207"/>
    </row>
    <row r="46" spans="1:14" ht="11.25" customHeight="1">
      <c r="A46" s="165"/>
      <c r="B46" s="182"/>
      <c r="C46" s="653" t="s">
        <v>183</v>
      </c>
      <c r="D46" s="653"/>
      <c r="E46" s="654"/>
      <c r="F46" s="274">
        <f>$I$39</f>
        <v>0</v>
      </c>
      <c r="G46" s="183"/>
      <c r="H46" s="81"/>
      <c r="I46" s="5"/>
      <c r="J46" s="5"/>
      <c r="K46" s="77"/>
      <c r="L46" s="65"/>
      <c r="M46" s="65"/>
      <c r="N46" s="65"/>
    </row>
    <row r="47" spans="2:12" ht="12.75">
      <c r="B47" s="182"/>
      <c r="C47" s="655" t="s">
        <v>33</v>
      </c>
      <c r="D47" s="655"/>
      <c r="E47" s="656"/>
      <c r="F47" s="564">
        <f>Arbeitszeitübersicht!D8/24</f>
        <v>0.4791666666666667</v>
      </c>
      <c r="G47" s="222"/>
      <c r="H47" s="81"/>
      <c r="I47" s="5"/>
      <c r="J47" s="5"/>
      <c r="K47" s="5"/>
      <c r="L47" s="4"/>
    </row>
    <row r="48" spans="2:14" ht="12.75">
      <c r="B48" s="4"/>
      <c r="C48" s="4"/>
      <c r="D48" s="4"/>
      <c r="E48" s="4"/>
      <c r="F48" s="4"/>
      <c r="H48" s="4"/>
      <c r="I48" s="102"/>
      <c r="J48" s="11"/>
      <c r="K48" s="11"/>
      <c r="L48" s="5"/>
      <c r="N48" s="101"/>
    </row>
    <row r="49" spans="2:12" ht="12.75">
      <c r="B49" s="5"/>
      <c r="C49" s="665"/>
      <c r="D49" s="665"/>
      <c r="E49" s="459" t="s">
        <v>251</v>
      </c>
      <c r="F49" s="460"/>
      <c r="G49" s="457"/>
      <c r="H49" s="458"/>
      <c r="I49" s="457"/>
      <c r="J49" s="457"/>
      <c r="K49" s="5"/>
      <c r="L49" s="4"/>
    </row>
    <row r="50" spans="2:12" ht="12.75">
      <c r="B50" s="4"/>
      <c r="C50" s="4"/>
      <c r="D50" s="11"/>
      <c r="E50" s="11"/>
      <c r="F50" s="11"/>
      <c r="G50" s="11"/>
      <c r="H50" s="5"/>
      <c r="I50" s="103"/>
      <c r="J50" s="11"/>
      <c r="K50" s="5"/>
      <c r="L50" s="5"/>
    </row>
    <row r="51" spans="2:13" ht="12.75">
      <c r="B51" s="4"/>
      <c r="C51" s="4"/>
      <c r="D51" s="5"/>
      <c r="E51" s="13"/>
      <c r="F51" s="669"/>
      <c r="G51" s="670"/>
      <c r="H51" s="670"/>
      <c r="I51" s="100"/>
      <c r="J51" s="100"/>
      <c r="K51" s="5"/>
      <c r="L51" s="5"/>
      <c r="M51" s="101"/>
    </row>
    <row r="52" spans="2:14" ht="12.75">
      <c r="B52" s="4"/>
      <c r="C52" s="4"/>
      <c r="D52" s="4"/>
      <c r="E52" s="5"/>
      <c r="F52" s="669"/>
      <c r="G52" s="670"/>
      <c r="H52" s="670"/>
      <c r="I52" s="81"/>
      <c r="J52" s="5"/>
      <c r="K52" s="5"/>
      <c r="L52" s="5"/>
      <c r="M52" s="101"/>
      <c r="N52" s="101"/>
    </row>
    <row r="53" spans="2:14" ht="12.75">
      <c r="B53" s="4"/>
      <c r="C53" s="4"/>
      <c r="D53" s="4"/>
      <c r="E53" s="4"/>
      <c r="F53" s="4"/>
      <c r="H53" s="4"/>
      <c r="I53" s="102"/>
      <c r="J53" s="11"/>
      <c r="K53" s="11"/>
      <c r="L53" s="5"/>
      <c r="N53" s="101"/>
    </row>
    <row r="54" spans="2:12" ht="0.75" customHeight="1">
      <c r="B54" s="4"/>
      <c r="C54" s="4"/>
      <c r="D54" s="4"/>
      <c r="E54" s="4"/>
      <c r="F54" s="4"/>
      <c r="H54" s="102"/>
      <c r="I54" s="11"/>
      <c r="J54" s="11"/>
      <c r="K54" s="5"/>
      <c r="L54" s="4"/>
    </row>
    <row r="55" spans="2:12" ht="12.75" customHeight="1" hidden="1">
      <c r="B55" s="4"/>
      <c r="C55" s="4"/>
      <c r="D55" s="4"/>
      <c r="E55" s="5"/>
      <c r="F55" s="5"/>
      <c r="G55" s="5"/>
      <c r="H55" s="102"/>
      <c r="I55" s="11"/>
      <c r="J55" s="5"/>
      <c r="K55" s="5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5"/>
      <c r="D57" s="5"/>
      <c r="E57" s="11"/>
      <c r="F57" s="13"/>
      <c r="G57" s="13"/>
      <c r="H57" s="81"/>
      <c r="I57" s="4"/>
      <c r="J57" s="4"/>
      <c r="K57" s="4"/>
      <c r="L57" s="4"/>
    </row>
    <row r="58" spans="2:12" ht="12.75" hidden="1">
      <c r="B58" s="4"/>
      <c r="C58" s="5"/>
      <c r="D58" s="5"/>
      <c r="E58" s="5"/>
      <c r="F58" s="5"/>
      <c r="G58" s="5"/>
      <c r="H58" s="5"/>
      <c r="I58" s="5"/>
      <c r="J58" s="5"/>
      <c r="K58" s="4"/>
      <c r="L58" s="4"/>
    </row>
    <row r="59" spans="2:12" ht="12.75" hidden="1">
      <c r="B59" s="4"/>
      <c r="C59" s="4"/>
      <c r="D59" s="4"/>
      <c r="E59" s="4"/>
      <c r="F59" s="4"/>
      <c r="H59" s="4"/>
      <c r="I59" s="5"/>
      <c r="J59" s="5"/>
      <c r="K59" s="4"/>
      <c r="L59" s="4"/>
    </row>
    <row r="60" spans="2:12" ht="15.75" customHeight="1" hidden="1">
      <c r="B60" s="4"/>
      <c r="C60" s="4"/>
      <c r="D60" s="4"/>
      <c r="E60" s="4"/>
      <c r="F60" s="4"/>
      <c r="H60" s="4"/>
      <c r="I60" s="4"/>
      <c r="J60" s="4"/>
      <c r="L60" s="4"/>
    </row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</sheetData>
  <sheetProtection/>
  <mergeCells count="18">
    <mergeCell ref="J2:J6"/>
    <mergeCell ref="G41:I41"/>
    <mergeCell ref="B7:C7"/>
    <mergeCell ref="B4:C4"/>
    <mergeCell ref="G42:I42"/>
    <mergeCell ref="G43:I43"/>
    <mergeCell ref="C40:E40"/>
    <mergeCell ref="G40:I40"/>
    <mergeCell ref="C41:E41"/>
    <mergeCell ref="C42:E42"/>
    <mergeCell ref="F51:H51"/>
    <mergeCell ref="F52:H52"/>
    <mergeCell ref="C49:D49"/>
    <mergeCell ref="C45:E45"/>
    <mergeCell ref="C46:E46"/>
    <mergeCell ref="C47:E47"/>
    <mergeCell ref="C43:E43"/>
    <mergeCell ref="C44:E44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38">
    <cfRule type="expression" priority="3" dxfId="10" stopIfTrue="1">
      <formula>OR($B38=$B$41,$B38=$B$41+1,$B38=$B$41-2)</formula>
    </cfRule>
    <cfRule type="expression" priority="4" dxfId="0" stopIfTrue="1">
      <formula>WEEKDAY($B38)=1</formula>
    </cfRule>
    <cfRule type="expression" priority="5" dxfId="1" stopIfTrue="1">
      <formula>WEEKDAY($B38)=7</formula>
    </cfRule>
  </conditionalFormatting>
  <conditionalFormatting sqref="C38">
    <cfRule type="expression" priority="6" dxfId="10" stopIfTrue="1">
      <formula>OR($B38=$B$41,$B38=$B$41+1,$B38=$B$41-2)</formula>
    </cfRule>
    <cfRule type="expression" priority="7" dxfId="0" stopIfTrue="1">
      <formula>WEEKDAY($B38)=1</formula>
    </cfRule>
    <cfRule type="expression" priority="8" dxfId="1" stopIfTrue="1">
      <formula>WEEKDAY($B38)=7</formula>
    </cfRule>
  </conditionalFormatting>
  <conditionalFormatting sqref="D38:H38">
    <cfRule type="expression" priority="9" dxfId="10" stopIfTrue="1">
      <formula>OR($B38=$B$41,$B38=$B$41+1,$B38=$B$41-2)</formula>
    </cfRule>
    <cfRule type="expression" priority="10" dxfId="1" stopIfTrue="1">
      <formula>WEEKDAY($B38)=7</formula>
    </cfRule>
    <cfRule type="expression" priority="11" dxfId="0" stopIfTrue="1">
      <formula>WEEKDAY($B38)=1</formula>
    </cfRule>
  </conditionalFormatting>
  <conditionalFormatting sqref="B8:B37">
    <cfRule type="expression" priority="12" dxfId="10" stopIfTrue="1">
      <formula>OR($B8=$B$41+39,$B8=$B$41+49,$B8=$B$41+50,$B8=$B$41+60)</formula>
    </cfRule>
    <cfRule type="expression" priority="13" dxfId="0" stopIfTrue="1">
      <formula>WEEKDAY($B8)=1</formula>
    </cfRule>
    <cfRule type="expression" priority="14" dxfId="1" stopIfTrue="1">
      <formula>WEEKDAY($B8)=7</formula>
    </cfRule>
  </conditionalFormatting>
  <conditionalFormatting sqref="C8:C37">
    <cfRule type="expression" priority="15" dxfId="10" stopIfTrue="1">
      <formula>OR($B8=$B$41+39,$B8=$B$41+49,$B8=$B$41+50,$B8=$B$41+60)</formula>
    </cfRule>
    <cfRule type="expression" priority="16" dxfId="0" stopIfTrue="1">
      <formula>WEEKDAY($B8)=1</formula>
    </cfRule>
    <cfRule type="expression" priority="17" dxfId="1" stopIfTrue="1">
      <formula>WEEKDAY($B8)=7</formula>
    </cfRule>
  </conditionalFormatting>
  <conditionalFormatting sqref="D8:G37">
    <cfRule type="expression" priority="18" dxfId="10" stopIfTrue="1">
      <formula>OR($B8=$B$41+39,$B8=$B$41+49,$B8=$B$41+50,$B8=$B$41+60)</formula>
    </cfRule>
    <cfRule type="expression" priority="19" dxfId="1" stopIfTrue="1">
      <formula>WEEKDAY($B8)=7</formula>
    </cfRule>
    <cfRule type="expression" priority="20" dxfId="0" stopIfTrue="1">
      <formula>WEEKDAY($B8)=1</formula>
    </cfRule>
  </conditionalFormatting>
  <conditionalFormatting sqref="H8:H37">
    <cfRule type="expression" priority="21" dxfId="10" stopIfTrue="1">
      <formula>OR($B8=$B$41+39,$B8=$B$41+49,$B8=$B$41+50,$B8=$B$41+60)</formula>
    </cfRule>
    <cfRule type="expression" priority="22" dxfId="1" stopIfTrue="1">
      <formula>WEEKDAY($B8)=7</formula>
    </cfRule>
    <cfRule type="expression" priority="23" dxfId="0" stopIfTrue="1">
      <formula>WEEKDAY($B8)=1</formula>
    </cfRule>
  </conditionalFormatting>
  <dataValidations count="1">
    <dataValidation type="list" allowBlank="1" showInputMessage="1" showErrorMessage="1" sqref="J8:J37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4"/>
  <dimension ref="A1:O60"/>
  <sheetViews>
    <sheetView defaultGridColor="0" zoomScalePageLayoutView="0" colorId="22" workbookViewId="0" topLeftCell="A7">
      <selection activeCell="F40" sqref="F40"/>
    </sheetView>
  </sheetViews>
  <sheetFormatPr defaultColWidth="0" defaultRowHeight="15.75" customHeight="1" zeroHeight="1"/>
  <cols>
    <col min="1" max="1" width="3.57421875" style="4" customWidth="1"/>
    <col min="2" max="2" width="7.140625" style="0" customWidth="1"/>
    <col min="3" max="3" width="3.57421875" style="0" customWidth="1"/>
    <col min="4" max="5" width="7.7109375" style="0" customWidth="1"/>
    <col min="6" max="6" width="7.57421875" style="0" customWidth="1"/>
    <col min="7" max="7" width="8.140625" style="4" customWidth="1"/>
    <col min="8" max="8" width="7.140625" style="0" customWidth="1"/>
    <col min="9" max="9" width="7.57421875" style="0" customWidth="1"/>
    <col min="10" max="10" width="4.71093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3"/>
      <c r="L1" s="14"/>
      <c r="M1" s="14"/>
      <c r="N1" s="14"/>
    </row>
    <row r="2" spans="2:14" ht="15">
      <c r="B2" s="446" t="str">
        <f>"Arbeitszeitachweis Juli "&amp;gewJahr</f>
        <v>Arbeitszeitachweis Juli 2018</v>
      </c>
      <c r="C2" s="447"/>
      <c r="D2" s="447"/>
      <c r="E2" s="447"/>
      <c r="F2" s="447"/>
      <c r="G2" s="446"/>
      <c r="H2" s="446"/>
      <c r="I2" s="446"/>
      <c r="J2" s="667" t="s">
        <v>92</v>
      </c>
      <c r="K2" s="13"/>
      <c r="L2" s="63"/>
      <c r="M2" s="14"/>
      <c r="N2" s="14"/>
    </row>
    <row r="3" spans="2:14" ht="13.5" customHeight="1">
      <c r="B3" s="484" t="s">
        <v>124</v>
      </c>
      <c r="C3" s="456" t="str">
        <f>Stammdaten!$B$6</f>
        <v>Mustermann, Hans</v>
      </c>
      <c r="D3" s="449"/>
      <c r="E3" s="449"/>
      <c r="F3" s="450"/>
      <c r="G3" s="450"/>
      <c r="H3" s="445"/>
      <c r="I3" s="451"/>
      <c r="J3" s="643"/>
      <c r="K3" s="14"/>
      <c r="L3" s="13"/>
      <c r="M3" s="13"/>
      <c r="N3" s="13"/>
    </row>
    <row r="4" spans="2:14" ht="0.75" customHeight="1">
      <c r="B4" s="674"/>
      <c r="C4" s="674"/>
      <c r="D4" s="448"/>
      <c r="E4" s="449"/>
      <c r="F4" s="449"/>
      <c r="G4" s="450"/>
      <c r="H4" s="14"/>
      <c r="I4" s="14"/>
      <c r="J4" s="643"/>
      <c r="K4" s="4"/>
      <c r="L4" s="14"/>
      <c r="M4" s="14"/>
      <c r="N4" s="14"/>
    </row>
    <row r="5" spans="2:12" ht="21" customHeight="1" hidden="1">
      <c r="B5" s="4"/>
      <c r="C5" s="66"/>
      <c r="D5" s="4"/>
      <c r="E5" s="4"/>
      <c r="F5" s="4"/>
      <c r="H5" s="4"/>
      <c r="I5" s="4"/>
      <c r="J5" s="643"/>
      <c r="K5" s="5"/>
      <c r="L5" s="4"/>
    </row>
    <row r="6" spans="2:14" ht="15.75" customHeight="1">
      <c r="B6" s="80"/>
      <c r="C6" s="43"/>
      <c r="D6" s="43"/>
      <c r="E6" s="43"/>
      <c r="F6" s="43"/>
      <c r="G6" s="43"/>
      <c r="H6" s="43"/>
      <c r="I6" s="43"/>
      <c r="J6" s="668"/>
      <c r="K6" s="78"/>
      <c r="L6" s="5"/>
      <c r="M6" s="5"/>
      <c r="N6" s="5"/>
    </row>
    <row r="7" spans="1:15" s="210" customFormat="1" ht="22.5" customHeight="1">
      <c r="A7" s="207"/>
      <c r="B7" s="648" t="s">
        <v>38</v>
      </c>
      <c r="C7" s="649"/>
      <c r="D7" s="453" t="s">
        <v>247</v>
      </c>
      <c r="E7" s="454" t="s">
        <v>248</v>
      </c>
      <c r="F7" s="455" t="s">
        <v>249</v>
      </c>
      <c r="G7" s="455" t="s">
        <v>250</v>
      </c>
      <c r="H7" s="177" t="s">
        <v>65</v>
      </c>
      <c r="I7" s="178" t="s">
        <v>39</v>
      </c>
      <c r="J7" s="179" t="s">
        <v>89</v>
      </c>
      <c r="K7" s="209"/>
      <c r="L7" s="213"/>
      <c r="M7" s="213"/>
      <c r="N7" s="213"/>
      <c r="O7" s="207"/>
    </row>
    <row r="8" spans="1:15" s="210" customFormat="1" ht="12" customHeight="1">
      <c r="A8" s="207"/>
      <c r="B8" s="198">
        <f>DATE(gewJahr,7,1)</f>
        <v>43282</v>
      </c>
      <c r="C8" s="199">
        <f aca="true" t="shared" si="0" ref="C8:C38">WEEKDAY(B8)</f>
        <v>1</v>
      </c>
      <c r="D8" s="200">
        <v>0</v>
      </c>
      <c r="E8" s="200">
        <v>0</v>
      </c>
      <c r="F8" s="268">
        <f aca="true" t="shared" si="1" ref="F8:F38">MAX(IF(D8&lt;=E8,E8-D8,"24:00"-D8+E8)-G8,0)</f>
        <v>0</v>
      </c>
      <c r="G8" s="200"/>
      <c r="H8" s="269">
        <f>IF(F8-I8&gt;0,F8-I8,0)</f>
        <v>0</v>
      </c>
      <c r="I8" s="271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197"/>
      <c r="K8" s="208"/>
      <c r="L8" s="209"/>
      <c r="M8" s="209"/>
      <c r="N8" s="209"/>
      <c r="O8" s="207"/>
    </row>
    <row r="9" spans="1:15" s="210" customFormat="1" ht="12" customHeight="1">
      <c r="A9" s="207"/>
      <c r="B9" s="198">
        <f aca="true" t="shared" si="2" ref="B9:B38">B8+1</f>
        <v>43283</v>
      </c>
      <c r="C9" s="199">
        <f t="shared" si="0"/>
        <v>2</v>
      </c>
      <c r="D9" s="200">
        <v>0</v>
      </c>
      <c r="E9" s="200">
        <v>0</v>
      </c>
      <c r="F9" s="268">
        <f t="shared" si="1"/>
        <v>0</v>
      </c>
      <c r="G9" s="200"/>
      <c r="H9" s="269">
        <f aca="true" t="shared" si="3" ref="H9:H38">IF(F9-I9&gt;0,F9-I9,0)</f>
        <v>0</v>
      </c>
      <c r="I9" s="271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197"/>
      <c r="K9" s="208"/>
      <c r="L9" s="208"/>
      <c r="M9" s="208"/>
      <c r="N9" s="208"/>
      <c r="O9" s="207"/>
    </row>
    <row r="10" spans="1:15" s="210" customFormat="1" ht="12" customHeight="1">
      <c r="A10" s="207"/>
      <c r="B10" s="198">
        <f t="shared" si="2"/>
        <v>43284</v>
      </c>
      <c r="C10" s="199">
        <f t="shared" si="0"/>
        <v>3</v>
      </c>
      <c r="D10" s="200">
        <v>0</v>
      </c>
      <c r="E10" s="200">
        <v>0</v>
      </c>
      <c r="F10" s="268">
        <f t="shared" si="1"/>
        <v>0</v>
      </c>
      <c r="G10" s="200"/>
      <c r="H10" s="269">
        <f t="shared" si="3"/>
        <v>0</v>
      </c>
      <c r="I10" s="271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197"/>
      <c r="K10" s="208"/>
      <c r="L10" s="208"/>
      <c r="M10" s="208"/>
      <c r="N10" s="208"/>
      <c r="O10" s="207"/>
    </row>
    <row r="11" spans="1:15" s="210" customFormat="1" ht="12" customHeight="1">
      <c r="A11" s="207"/>
      <c r="B11" s="198">
        <f t="shared" si="2"/>
        <v>43285</v>
      </c>
      <c r="C11" s="199">
        <f t="shared" si="0"/>
        <v>4</v>
      </c>
      <c r="D11" s="200">
        <v>0</v>
      </c>
      <c r="E11" s="200">
        <v>0</v>
      </c>
      <c r="F11" s="268">
        <f t="shared" si="1"/>
        <v>0</v>
      </c>
      <c r="G11" s="200"/>
      <c r="H11" s="269">
        <f t="shared" si="3"/>
        <v>0</v>
      </c>
      <c r="I11" s="271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197"/>
      <c r="K11" s="208"/>
      <c r="L11" s="208"/>
      <c r="M11" s="208"/>
      <c r="N11" s="208"/>
      <c r="O11" s="207"/>
    </row>
    <row r="12" spans="1:15" s="210" customFormat="1" ht="12" customHeight="1">
      <c r="A12" s="207"/>
      <c r="B12" s="198">
        <f t="shared" si="2"/>
        <v>43286</v>
      </c>
      <c r="C12" s="199">
        <f t="shared" si="0"/>
        <v>5</v>
      </c>
      <c r="D12" s="200">
        <v>0</v>
      </c>
      <c r="E12" s="200">
        <v>0</v>
      </c>
      <c r="F12" s="268">
        <f t="shared" si="1"/>
        <v>0</v>
      </c>
      <c r="G12" s="200"/>
      <c r="H12" s="269">
        <f t="shared" si="3"/>
        <v>0</v>
      </c>
      <c r="I12" s="271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197"/>
      <c r="K12" s="209"/>
      <c r="L12" s="208"/>
      <c r="M12" s="208"/>
      <c r="N12" s="208"/>
      <c r="O12" s="207"/>
    </row>
    <row r="13" spans="1:15" s="210" customFormat="1" ht="12" customHeight="1">
      <c r="A13" s="207"/>
      <c r="B13" s="198">
        <f t="shared" si="2"/>
        <v>43287</v>
      </c>
      <c r="C13" s="199">
        <f t="shared" si="0"/>
        <v>6</v>
      </c>
      <c r="D13" s="200">
        <v>0</v>
      </c>
      <c r="E13" s="200">
        <v>0</v>
      </c>
      <c r="F13" s="268">
        <f t="shared" si="1"/>
        <v>0</v>
      </c>
      <c r="G13" s="200"/>
      <c r="H13" s="269">
        <f t="shared" si="3"/>
        <v>0</v>
      </c>
      <c r="I13" s="271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197"/>
      <c r="K13" s="208"/>
      <c r="L13" s="209"/>
      <c r="M13" s="208"/>
      <c r="N13" s="208"/>
      <c r="O13" s="207"/>
    </row>
    <row r="14" spans="1:15" s="210" customFormat="1" ht="12" customHeight="1">
      <c r="A14" s="207"/>
      <c r="B14" s="198">
        <f t="shared" si="2"/>
        <v>43288</v>
      </c>
      <c r="C14" s="199">
        <f t="shared" si="0"/>
        <v>7</v>
      </c>
      <c r="D14" s="200">
        <v>0</v>
      </c>
      <c r="E14" s="200">
        <v>0</v>
      </c>
      <c r="F14" s="268">
        <f t="shared" si="1"/>
        <v>0</v>
      </c>
      <c r="G14" s="200"/>
      <c r="H14" s="269">
        <f t="shared" si="3"/>
        <v>0</v>
      </c>
      <c r="I14" s="271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197"/>
      <c r="K14" s="208"/>
      <c r="L14" s="208"/>
      <c r="M14" s="208"/>
      <c r="N14" s="208"/>
      <c r="O14" s="207"/>
    </row>
    <row r="15" spans="1:15" s="210" customFormat="1" ht="12" customHeight="1">
      <c r="A15" s="207"/>
      <c r="B15" s="198">
        <f t="shared" si="2"/>
        <v>43289</v>
      </c>
      <c r="C15" s="199">
        <f t="shared" si="0"/>
        <v>1</v>
      </c>
      <c r="D15" s="200">
        <v>0</v>
      </c>
      <c r="E15" s="200">
        <v>0</v>
      </c>
      <c r="F15" s="268">
        <f t="shared" si="1"/>
        <v>0</v>
      </c>
      <c r="G15" s="200"/>
      <c r="H15" s="269">
        <f t="shared" si="3"/>
        <v>0</v>
      </c>
      <c r="I15" s="271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197"/>
      <c r="K15" s="208"/>
      <c r="L15" s="208"/>
      <c r="M15" s="208"/>
      <c r="N15" s="208"/>
      <c r="O15" s="207"/>
    </row>
    <row r="16" spans="1:15" s="210" customFormat="1" ht="12" customHeight="1">
      <c r="A16" s="207"/>
      <c r="B16" s="198">
        <f t="shared" si="2"/>
        <v>43290</v>
      </c>
      <c r="C16" s="199">
        <f t="shared" si="0"/>
        <v>2</v>
      </c>
      <c r="D16" s="200">
        <v>0</v>
      </c>
      <c r="E16" s="200">
        <v>0</v>
      </c>
      <c r="F16" s="268">
        <f t="shared" si="1"/>
        <v>0</v>
      </c>
      <c r="G16" s="200"/>
      <c r="H16" s="269">
        <f t="shared" si="3"/>
        <v>0</v>
      </c>
      <c r="I16" s="271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197"/>
      <c r="K16" s="208"/>
      <c r="L16" s="208"/>
      <c r="M16" s="208"/>
      <c r="N16" s="208"/>
      <c r="O16" s="207"/>
    </row>
    <row r="17" spans="1:15" s="210" customFormat="1" ht="12" customHeight="1">
      <c r="A17" s="207"/>
      <c r="B17" s="198">
        <f t="shared" si="2"/>
        <v>43291</v>
      </c>
      <c r="C17" s="199">
        <f t="shared" si="0"/>
        <v>3</v>
      </c>
      <c r="D17" s="200">
        <v>0</v>
      </c>
      <c r="E17" s="200">
        <v>0</v>
      </c>
      <c r="F17" s="268">
        <f t="shared" si="1"/>
        <v>0</v>
      </c>
      <c r="G17" s="200"/>
      <c r="H17" s="269">
        <f t="shared" si="3"/>
        <v>0</v>
      </c>
      <c r="I17" s="271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197"/>
      <c r="K17" s="208"/>
      <c r="L17" s="208"/>
      <c r="M17" s="208"/>
      <c r="N17" s="208"/>
      <c r="O17" s="207"/>
    </row>
    <row r="18" spans="1:15" s="210" customFormat="1" ht="12" customHeight="1">
      <c r="A18" s="207"/>
      <c r="B18" s="198">
        <f t="shared" si="2"/>
        <v>43292</v>
      </c>
      <c r="C18" s="199">
        <f t="shared" si="0"/>
        <v>4</v>
      </c>
      <c r="D18" s="200">
        <v>0</v>
      </c>
      <c r="E18" s="200">
        <v>0</v>
      </c>
      <c r="F18" s="268">
        <f t="shared" si="1"/>
        <v>0</v>
      </c>
      <c r="G18" s="200"/>
      <c r="H18" s="269">
        <f t="shared" si="3"/>
        <v>0</v>
      </c>
      <c r="I18" s="271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197"/>
      <c r="K18" s="208"/>
      <c r="L18" s="208"/>
      <c r="M18" s="208"/>
      <c r="N18" s="208"/>
      <c r="O18" s="207"/>
    </row>
    <row r="19" spans="1:15" s="210" customFormat="1" ht="12" customHeight="1">
      <c r="A19" s="207"/>
      <c r="B19" s="198">
        <f t="shared" si="2"/>
        <v>43293</v>
      </c>
      <c r="C19" s="199">
        <f t="shared" si="0"/>
        <v>5</v>
      </c>
      <c r="D19" s="200">
        <v>0</v>
      </c>
      <c r="E19" s="200">
        <v>0</v>
      </c>
      <c r="F19" s="268">
        <f t="shared" si="1"/>
        <v>0</v>
      </c>
      <c r="G19" s="200"/>
      <c r="H19" s="269">
        <f t="shared" si="3"/>
        <v>0</v>
      </c>
      <c r="I19" s="271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197"/>
      <c r="K19" s="208"/>
      <c r="L19" s="208"/>
      <c r="M19" s="208"/>
      <c r="N19" s="208"/>
      <c r="O19" s="207"/>
    </row>
    <row r="20" spans="1:15" s="210" customFormat="1" ht="12" customHeight="1">
      <c r="A20" s="207"/>
      <c r="B20" s="198">
        <f t="shared" si="2"/>
        <v>43294</v>
      </c>
      <c r="C20" s="199">
        <f t="shared" si="0"/>
        <v>6</v>
      </c>
      <c r="D20" s="200">
        <v>0</v>
      </c>
      <c r="E20" s="200">
        <v>0</v>
      </c>
      <c r="F20" s="268">
        <f t="shared" si="1"/>
        <v>0</v>
      </c>
      <c r="G20" s="200"/>
      <c r="H20" s="269">
        <f t="shared" si="3"/>
        <v>0</v>
      </c>
      <c r="I20" s="271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197"/>
      <c r="K20" s="208"/>
      <c r="L20" s="208"/>
      <c r="M20" s="208"/>
      <c r="N20" s="208"/>
      <c r="O20" s="207"/>
    </row>
    <row r="21" spans="1:15" s="210" customFormat="1" ht="12" customHeight="1">
      <c r="A21" s="207"/>
      <c r="B21" s="198">
        <f t="shared" si="2"/>
        <v>43295</v>
      </c>
      <c r="C21" s="199">
        <f t="shared" si="0"/>
        <v>7</v>
      </c>
      <c r="D21" s="200">
        <v>0</v>
      </c>
      <c r="E21" s="200">
        <v>0</v>
      </c>
      <c r="F21" s="268">
        <f t="shared" si="1"/>
        <v>0</v>
      </c>
      <c r="G21" s="200"/>
      <c r="H21" s="269">
        <f t="shared" si="3"/>
        <v>0</v>
      </c>
      <c r="I21" s="271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197"/>
      <c r="K21" s="208"/>
      <c r="L21" s="208"/>
      <c r="M21" s="208"/>
      <c r="N21" s="208"/>
      <c r="O21" s="207"/>
    </row>
    <row r="22" spans="1:15" s="210" customFormat="1" ht="12" customHeight="1">
      <c r="A22" s="207"/>
      <c r="B22" s="198">
        <f t="shared" si="2"/>
        <v>43296</v>
      </c>
      <c r="C22" s="199">
        <f t="shared" si="0"/>
        <v>1</v>
      </c>
      <c r="D22" s="200">
        <v>0</v>
      </c>
      <c r="E22" s="200">
        <v>0</v>
      </c>
      <c r="F22" s="268">
        <f t="shared" si="1"/>
        <v>0</v>
      </c>
      <c r="G22" s="200"/>
      <c r="H22" s="269">
        <f t="shared" si="3"/>
        <v>0</v>
      </c>
      <c r="I22" s="271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197"/>
      <c r="K22" s="208"/>
      <c r="L22" s="208"/>
      <c r="M22" s="208"/>
      <c r="N22" s="208"/>
      <c r="O22" s="207"/>
    </row>
    <row r="23" spans="1:15" s="210" customFormat="1" ht="12" customHeight="1">
      <c r="A23" s="207"/>
      <c r="B23" s="198">
        <f t="shared" si="2"/>
        <v>43297</v>
      </c>
      <c r="C23" s="199">
        <f t="shared" si="0"/>
        <v>2</v>
      </c>
      <c r="D23" s="200">
        <v>0</v>
      </c>
      <c r="E23" s="200">
        <v>0</v>
      </c>
      <c r="F23" s="268">
        <f t="shared" si="1"/>
        <v>0</v>
      </c>
      <c r="G23" s="200"/>
      <c r="H23" s="269">
        <f t="shared" si="3"/>
        <v>0</v>
      </c>
      <c r="I23" s="271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197"/>
      <c r="K23" s="208"/>
      <c r="L23" s="208"/>
      <c r="M23" s="208"/>
      <c r="N23" s="208"/>
      <c r="O23" s="207"/>
    </row>
    <row r="24" spans="1:15" s="210" customFormat="1" ht="12" customHeight="1">
      <c r="A24" s="207"/>
      <c r="B24" s="198">
        <f t="shared" si="2"/>
        <v>43298</v>
      </c>
      <c r="C24" s="199">
        <f t="shared" si="0"/>
        <v>3</v>
      </c>
      <c r="D24" s="200">
        <v>0</v>
      </c>
      <c r="E24" s="200">
        <v>0</v>
      </c>
      <c r="F24" s="268">
        <f t="shared" si="1"/>
        <v>0</v>
      </c>
      <c r="G24" s="200"/>
      <c r="H24" s="269">
        <f t="shared" si="3"/>
        <v>0</v>
      </c>
      <c r="I24" s="271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197"/>
      <c r="K24" s="208"/>
      <c r="L24" s="208"/>
      <c r="M24" s="208"/>
      <c r="N24" s="208"/>
      <c r="O24" s="207"/>
    </row>
    <row r="25" spans="1:15" s="210" customFormat="1" ht="12" customHeight="1">
      <c r="A25" s="207"/>
      <c r="B25" s="198">
        <f t="shared" si="2"/>
        <v>43299</v>
      </c>
      <c r="C25" s="199">
        <f t="shared" si="0"/>
        <v>4</v>
      </c>
      <c r="D25" s="200">
        <v>0</v>
      </c>
      <c r="E25" s="200">
        <v>0</v>
      </c>
      <c r="F25" s="268">
        <f t="shared" si="1"/>
        <v>0</v>
      </c>
      <c r="G25" s="200"/>
      <c r="H25" s="269">
        <f t="shared" si="3"/>
        <v>0</v>
      </c>
      <c r="I25" s="271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197"/>
      <c r="K25" s="208"/>
      <c r="L25" s="208"/>
      <c r="M25" s="208"/>
      <c r="N25" s="208"/>
      <c r="O25" s="207"/>
    </row>
    <row r="26" spans="1:15" s="210" customFormat="1" ht="12" customHeight="1">
      <c r="A26" s="207"/>
      <c r="B26" s="198">
        <f t="shared" si="2"/>
        <v>43300</v>
      </c>
      <c r="C26" s="199">
        <f t="shared" si="0"/>
        <v>5</v>
      </c>
      <c r="D26" s="200">
        <v>0</v>
      </c>
      <c r="E26" s="200">
        <v>0</v>
      </c>
      <c r="F26" s="268">
        <f t="shared" si="1"/>
        <v>0</v>
      </c>
      <c r="G26" s="200"/>
      <c r="H26" s="269">
        <f t="shared" si="3"/>
        <v>0</v>
      </c>
      <c r="I26" s="271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197"/>
      <c r="K26" s="208"/>
      <c r="L26" s="208"/>
      <c r="M26" s="208"/>
      <c r="N26" s="208"/>
      <c r="O26" s="207"/>
    </row>
    <row r="27" spans="1:15" s="210" customFormat="1" ht="12" customHeight="1">
      <c r="A27" s="207"/>
      <c r="B27" s="198">
        <f t="shared" si="2"/>
        <v>43301</v>
      </c>
      <c r="C27" s="199">
        <f t="shared" si="0"/>
        <v>6</v>
      </c>
      <c r="D27" s="200">
        <v>0</v>
      </c>
      <c r="E27" s="200">
        <v>0</v>
      </c>
      <c r="F27" s="268">
        <f t="shared" si="1"/>
        <v>0</v>
      </c>
      <c r="G27" s="200"/>
      <c r="H27" s="269">
        <f t="shared" si="3"/>
        <v>0</v>
      </c>
      <c r="I27" s="271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197"/>
      <c r="K27" s="208"/>
      <c r="L27" s="208"/>
      <c r="M27" s="208"/>
      <c r="N27" s="208"/>
      <c r="O27" s="207"/>
    </row>
    <row r="28" spans="1:15" s="210" customFormat="1" ht="12" customHeight="1">
      <c r="A28" s="207"/>
      <c r="B28" s="198">
        <f t="shared" si="2"/>
        <v>43302</v>
      </c>
      <c r="C28" s="199">
        <f t="shared" si="0"/>
        <v>7</v>
      </c>
      <c r="D28" s="200">
        <v>0</v>
      </c>
      <c r="E28" s="200">
        <v>0</v>
      </c>
      <c r="F28" s="268">
        <f t="shared" si="1"/>
        <v>0</v>
      </c>
      <c r="G28" s="200"/>
      <c r="H28" s="269">
        <f t="shared" si="3"/>
        <v>0</v>
      </c>
      <c r="I28" s="271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197"/>
      <c r="K28" s="208"/>
      <c r="L28" s="208"/>
      <c r="M28" s="208"/>
      <c r="N28" s="208"/>
      <c r="O28" s="207"/>
    </row>
    <row r="29" spans="1:15" s="210" customFormat="1" ht="12" customHeight="1">
      <c r="A29" s="207"/>
      <c r="B29" s="198">
        <f t="shared" si="2"/>
        <v>43303</v>
      </c>
      <c r="C29" s="199">
        <f t="shared" si="0"/>
        <v>1</v>
      </c>
      <c r="D29" s="200">
        <v>0</v>
      </c>
      <c r="E29" s="200">
        <v>0</v>
      </c>
      <c r="F29" s="268">
        <f t="shared" si="1"/>
        <v>0</v>
      </c>
      <c r="G29" s="200"/>
      <c r="H29" s="269">
        <f t="shared" si="3"/>
        <v>0</v>
      </c>
      <c r="I29" s="271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197"/>
      <c r="K29" s="208"/>
      <c r="L29" s="208"/>
      <c r="M29" s="208"/>
      <c r="N29" s="208"/>
      <c r="O29" s="207"/>
    </row>
    <row r="30" spans="1:15" s="210" customFormat="1" ht="12" customHeight="1">
      <c r="A30" s="207"/>
      <c r="B30" s="198">
        <f t="shared" si="2"/>
        <v>43304</v>
      </c>
      <c r="C30" s="199">
        <f t="shared" si="0"/>
        <v>2</v>
      </c>
      <c r="D30" s="200">
        <v>0</v>
      </c>
      <c r="E30" s="200">
        <v>0</v>
      </c>
      <c r="F30" s="268">
        <f t="shared" si="1"/>
        <v>0</v>
      </c>
      <c r="G30" s="200"/>
      <c r="H30" s="269">
        <f t="shared" si="3"/>
        <v>0</v>
      </c>
      <c r="I30" s="271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197"/>
      <c r="K30" s="208"/>
      <c r="L30" s="208"/>
      <c r="M30" s="208"/>
      <c r="N30" s="208"/>
      <c r="O30" s="207"/>
    </row>
    <row r="31" spans="1:15" s="210" customFormat="1" ht="12" customHeight="1">
      <c r="A31" s="207"/>
      <c r="B31" s="198">
        <f t="shared" si="2"/>
        <v>43305</v>
      </c>
      <c r="C31" s="199">
        <f t="shared" si="0"/>
        <v>3</v>
      </c>
      <c r="D31" s="200">
        <v>0</v>
      </c>
      <c r="E31" s="200">
        <v>0</v>
      </c>
      <c r="F31" s="268">
        <f t="shared" si="1"/>
        <v>0</v>
      </c>
      <c r="G31" s="200"/>
      <c r="H31" s="269">
        <f t="shared" si="3"/>
        <v>0</v>
      </c>
      <c r="I31" s="271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197"/>
      <c r="K31" s="208"/>
      <c r="L31" s="208"/>
      <c r="M31" s="208"/>
      <c r="N31" s="208"/>
      <c r="O31" s="207"/>
    </row>
    <row r="32" spans="1:15" s="210" customFormat="1" ht="12" customHeight="1">
      <c r="A32" s="207"/>
      <c r="B32" s="198">
        <f t="shared" si="2"/>
        <v>43306</v>
      </c>
      <c r="C32" s="199">
        <f t="shared" si="0"/>
        <v>4</v>
      </c>
      <c r="D32" s="200">
        <v>0</v>
      </c>
      <c r="E32" s="200">
        <v>0</v>
      </c>
      <c r="F32" s="268">
        <f t="shared" si="1"/>
        <v>0</v>
      </c>
      <c r="G32" s="200"/>
      <c r="H32" s="269">
        <f t="shared" si="3"/>
        <v>0</v>
      </c>
      <c r="I32" s="271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197"/>
      <c r="K32" s="208"/>
      <c r="L32" s="208"/>
      <c r="M32" s="208"/>
      <c r="N32" s="208"/>
      <c r="O32" s="207"/>
    </row>
    <row r="33" spans="1:15" s="210" customFormat="1" ht="12" customHeight="1">
      <c r="A33" s="207"/>
      <c r="B33" s="198">
        <f t="shared" si="2"/>
        <v>43307</v>
      </c>
      <c r="C33" s="199">
        <f t="shared" si="0"/>
        <v>5</v>
      </c>
      <c r="D33" s="200">
        <v>0</v>
      </c>
      <c r="E33" s="200">
        <v>0</v>
      </c>
      <c r="F33" s="268">
        <f t="shared" si="1"/>
        <v>0</v>
      </c>
      <c r="G33" s="200"/>
      <c r="H33" s="269">
        <f t="shared" si="3"/>
        <v>0</v>
      </c>
      <c r="I33" s="271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197"/>
      <c r="K33" s="208"/>
      <c r="L33" s="208"/>
      <c r="M33" s="208"/>
      <c r="N33" s="208"/>
      <c r="O33" s="207"/>
    </row>
    <row r="34" spans="1:15" s="210" customFormat="1" ht="12" customHeight="1">
      <c r="A34" s="207"/>
      <c r="B34" s="198">
        <f t="shared" si="2"/>
        <v>43308</v>
      </c>
      <c r="C34" s="199">
        <f t="shared" si="0"/>
        <v>6</v>
      </c>
      <c r="D34" s="200">
        <v>0</v>
      </c>
      <c r="E34" s="200">
        <v>0</v>
      </c>
      <c r="F34" s="268">
        <f t="shared" si="1"/>
        <v>0</v>
      </c>
      <c r="G34" s="200"/>
      <c r="H34" s="269">
        <f t="shared" si="3"/>
        <v>0</v>
      </c>
      <c r="I34" s="271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197"/>
      <c r="K34" s="208"/>
      <c r="L34" s="208"/>
      <c r="M34" s="208"/>
      <c r="N34" s="208"/>
      <c r="O34" s="207"/>
    </row>
    <row r="35" spans="1:15" s="210" customFormat="1" ht="12" customHeight="1">
      <c r="A35" s="207"/>
      <c r="B35" s="198">
        <f t="shared" si="2"/>
        <v>43309</v>
      </c>
      <c r="C35" s="199">
        <f t="shared" si="0"/>
        <v>7</v>
      </c>
      <c r="D35" s="200">
        <v>0</v>
      </c>
      <c r="E35" s="200">
        <v>0</v>
      </c>
      <c r="F35" s="268">
        <f t="shared" si="1"/>
        <v>0</v>
      </c>
      <c r="G35" s="200"/>
      <c r="H35" s="269">
        <f t="shared" si="3"/>
        <v>0</v>
      </c>
      <c r="I35" s="271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197"/>
      <c r="K35" s="208"/>
      <c r="L35" s="208"/>
      <c r="M35" s="208"/>
      <c r="N35" s="208"/>
      <c r="O35" s="207"/>
    </row>
    <row r="36" spans="1:15" s="210" customFormat="1" ht="12" customHeight="1">
      <c r="A36" s="207"/>
      <c r="B36" s="198">
        <f t="shared" si="2"/>
        <v>43310</v>
      </c>
      <c r="C36" s="199">
        <f t="shared" si="0"/>
        <v>1</v>
      </c>
      <c r="D36" s="200">
        <v>0</v>
      </c>
      <c r="E36" s="200">
        <v>0</v>
      </c>
      <c r="F36" s="268">
        <f t="shared" si="1"/>
        <v>0</v>
      </c>
      <c r="G36" s="200"/>
      <c r="H36" s="269">
        <f t="shared" si="3"/>
        <v>0</v>
      </c>
      <c r="I36" s="271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197"/>
      <c r="K36" s="208"/>
      <c r="L36" s="208"/>
      <c r="M36" s="208"/>
      <c r="N36" s="208"/>
      <c r="O36" s="207"/>
    </row>
    <row r="37" spans="1:15" s="210" customFormat="1" ht="12" customHeight="1">
      <c r="A37" s="207"/>
      <c r="B37" s="198">
        <f t="shared" si="2"/>
        <v>43311</v>
      </c>
      <c r="C37" s="199">
        <f t="shared" si="0"/>
        <v>2</v>
      </c>
      <c r="D37" s="200">
        <v>0</v>
      </c>
      <c r="E37" s="200">
        <v>0</v>
      </c>
      <c r="F37" s="268">
        <f t="shared" si="1"/>
        <v>0</v>
      </c>
      <c r="G37" s="200"/>
      <c r="H37" s="269">
        <f t="shared" si="3"/>
        <v>0</v>
      </c>
      <c r="I37" s="271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197"/>
      <c r="K37" s="208"/>
      <c r="L37" s="208"/>
      <c r="M37" s="208"/>
      <c r="N37" s="208"/>
      <c r="O37" s="207"/>
    </row>
    <row r="38" spans="1:15" s="210" customFormat="1" ht="12" customHeight="1">
      <c r="A38" s="207"/>
      <c r="B38" s="198">
        <f t="shared" si="2"/>
        <v>43312</v>
      </c>
      <c r="C38" s="199">
        <f t="shared" si="0"/>
        <v>3</v>
      </c>
      <c r="D38" s="200">
        <v>0</v>
      </c>
      <c r="E38" s="200">
        <v>0</v>
      </c>
      <c r="F38" s="268">
        <f t="shared" si="1"/>
        <v>0</v>
      </c>
      <c r="G38" s="200"/>
      <c r="H38" s="269">
        <f t="shared" si="3"/>
        <v>0</v>
      </c>
      <c r="I38" s="271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197"/>
      <c r="K38" s="208"/>
      <c r="L38" s="208"/>
      <c r="M38" s="208"/>
      <c r="N38" s="208"/>
      <c r="O38" s="207"/>
    </row>
    <row r="39" spans="1:15" s="210" customFormat="1" ht="12" customHeight="1">
      <c r="A39" s="211"/>
      <c r="B39" s="188"/>
      <c r="C39" s="188"/>
      <c r="D39" s="577" t="s">
        <v>88</v>
      </c>
      <c r="E39" s="578"/>
      <c r="F39" s="270">
        <f>SUM(F7:F38)</f>
        <v>0</v>
      </c>
      <c r="G39" s="281"/>
      <c r="H39" s="270">
        <f>SUM(H8:H38)</f>
        <v>0</v>
      </c>
      <c r="I39" s="272">
        <f>SUM(I8:I38)</f>
        <v>0</v>
      </c>
      <c r="J39" s="244"/>
      <c r="K39" s="208"/>
      <c r="L39" s="208"/>
      <c r="M39" s="208"/>
      <c r="N39" s="208"/>
      <c r="O39" s="207"/>
    </row>
    <row r="40" spans="1:15" s="210" customFormat="1" ht="12" customHeight="1">
      <c r="A40" s="211"/>
      <c r="B40" s="188"/>
      <c r="C40" s="657" t="s">
        <v>318</v>
      </c>
      <c r="D40" s="657"/>
      <c r="E40" s="658"/>
      <c r="F40" s="576">
        <f>SUM(H39,PRODUCT(SUM(J40,J42,J32),Stammdaten!H28))</f>
        <v>0</v>
      </c>
      <c r="G40" s="664" t="s">
        <v>90</v>
      </c>
      <c r="H40" s="665"/>
      <c r="I40" s="666"/>
      <c r="J40" s="204">
        <f>COUNTIF(J8:J38,"u")</f>
        <v>0</v>
      </c>
      <c r="K40" s="208"/>
      <c r="L40" s="208"/>
      <c r="M40" s="208"/>
      <c r="N40" s="208"/>
      <c r="O40" s="207"/>
    </row>
    <row r="41" spans="1:15" s="210" customFormat="1" ht="12" customHeight="1">
      <c r="A41" s="211"/>
      <c r="B41" s="188"/>
      <c r="C41" s="659" t="s">
        <v>117</v>
      </c>
      <c r="D41" s="659"/>
      <c r="E41" s="660"/>
      <c r="F41" s="282">
        <v>0.2916666666666667</v>
      </c>
      <c r="G41" s="650" t="s">
        <v>115</v>
      </c>
      <c r="H41" s="651"/>
      <c r="I41" s="652"/>
      <c r="J41" s="205">
        <f>Juni!J41-J40</f>
        <v>25</v>
      </c>
      <c r="K41" s="208"/>
      <c r="L41" s="208"/>
      <c r="M41" s="208"/>
      <c r="N41" s="208"/>
      <c r="O41" s="207"/>
    </row>
    <row r="42" spans="1:15" s="210" customFormat="1" ht="12" customHeight="1">
      <c r="A42" s="211"/>
      <c r="B42" s="188"/>
      <c r="C42" s="615" t="s">
        <v>121</v>
      </c>
      <c r="D42" s="615"/>
      <c r="E42" s="661"/>
      <c r="F42" s="283">
        <v>0</v>
      </c>
      <c r="G42" s="664" t="s">
        <v>91</v>
      </c>
      <c r="H42" s="665"/>
      <c r="I42" s="666"/>
      <c r="J42" s="206">
        <f>COUNTIF(J8:J38,"k")</f>
        <v>0</v>
      </c>
      <c r="K42" s="193"/>
      <c r="L42" s="212"/>
      <c r="M42" s="197">
        <f>COUNTIF(M8:M38,"k")</f>
        <v>0</v>
      </c>
      <c r="N42" s="208"/>
      <c r="O42" s="207"/>
    </row>
    <row r="43" spans="1:15" s="210" customFormat="1" ht="12" customHeight="1">
      <c r="A43" s="211"/>
      <c r="B43" s="188"/>
      <c r="C43" s="662" t="s">
        <v>122</v>
      </c>
      <c r="D43" s="662"/>
      <c r="E43" s="663"/>
      <c r="F43" s="284">
        <v>0</v>
      </c>
      <c r="G43" s="664" t="s">
        <v>116</v>
      </c>
      <c r="H43" s="640"/>
      <c r="I43" s="640"/>
      <c r="J43" s="197">
        <f>COUNTIF(J8:J38,"nu")</f>
        <v>0</v>
      </c>
      <c r="K43" s="208"/>
      <c r="L43" s="208"/>
      <c r="M43" s="208"/>
      <c r="N43" s="208"/>
      <c r="O43" s="207"/>
    </row>
    <row r="44" spans="1:15" s="210" customFormat="1" ht="12.75">
      <c r="A44" s="211"/>
      <c r="B44" s="188"/>
      <c r="C44" s="615" t="str">
        <f>Stammdaten!$F$23</f>
        <v>Sonderschicht I</v>
      </c>
      <c r="D44" s="615"/>
      <c r="E44" s="661"/>
      <c r="F44" s="283">
        <v>0</v>
      </c>
      <c r="H44" s="81"/>
      <c r="I44" s="5"/>
      <c r="J44" s="5"/>
      <c r="K44" s="208"/>
      <c r="L44" s="208"/>
      <c r="M44" s="208"/>
      <c r="N44" s="208"/>
      <c r="O44" s="207"/>
    </row>
    <row r="45" spans="1:15" s="210" customFormat="1" ht="11.25">
      <c r="A45" s="211"/>
      <c r="B45" s="188"/>
      <c r="C45" s="615" t="str">
        <f>Stammdaten!$G$24</f>
        <v>Sonderschicht II</v>
      </c>
      <c r="D45" s="615"/>
      <c r="E45" s="661"/>
      <c r="F45" s="283">
        <v>0</v>
      </c>
      <c r="G45" s="193"/>
      <c r="H45" s="485"/>
      <c r="I45" s="492"/>
      <c r="J45" s="211"/>
      <c r="K45" s="208"/>
      <c r="L45" s="208"/>
      <c r="M45" s="208"/>
      <c r="N45" s="208"/>
      <c r="O45" s="207"/>
    </row>
    <row r="46" spans="1:14" ht="11.25" customHeight="1">
      <c r="A46" s="165"/>
      <c r="B46" s="182"/>
      <c r="C46" s="653" t="s">
        <v>183</v>
      </c>
      <c r="D46" s="653"/>
      <c r="E46" s="654"/>
      <c r="F46" s="274">
        <f>$I$39</f>
        <v>0</v>
      </c>
      <c r="G46" s="183"/>
      <c r="H46" s="81"/>
      <c r="I46" s="5"/>
      <c r="J46" s="5"/>
      <c r="K46" s="77"/>
      <c r="L46" s="65"/>
      <c r="M46" s="65"/>
      <c r="N46" s="65"/>
    </row>
    <row r="47" spans="2:14" ht="12.75">
      <c r="B47" s="182"/>
      <c r="C47" s="655" t="s">
        <v>33</v>
      </c>
      <c r="D47" s="655"/>
      <c r="E47" s="656"/>
      <c r="F47" s="564">
        <f>Arbeitszeitübersicht!D8/24</f>
        <v>0.4791666666666667</v>
      </c>
      <c r="G47" s="222"/>
      <c r="H47" s="81"/>
      <c r="I47" s="5"/>
      <c r="J47" s="5"/>
      <c r="K47" s="5"/>
      <c r="L47" s="77"/>
      <c r="M47" s="77"/>
      <c r="N47" s="77"/>
    </row>
    <row r="48" spans="2:14" ht="12.75">
      <c r="B48" s="4"/>
      <c r="C48" s="4"/>
      <c r="D48" s="4"/>
      <c r="E48" s="4"/>
      <c r="F48" s="4"/>
      <c r="H48" s="4"/>
      <c r="I48" s="102"/>
      <c r="J48" s="11"/>
      <c r="K48" s="11"/>
      <c r="L48" s="5"/>
      <c r="N48" s="101"/>
    </row>
    <row r="49" spans="2:12" ht="12.75">
      <c r="B49" s="5"/>
      <c r="C49" s="665"/>
      <c r="D49" s="665"/>
      <c r="E49" s="459" t="s">
        <v>251</v>
      </c>
      <c r="F49" s="460"/>
      <c r="G49" s="457"/>
      <c r="H49" s="458"/>
      <c r="I49" s="457"/>
      <c r="J49" s="457"/>
      <c r="K49" s="5"/>
      <c r="L49" s="4"/>
    </row>
    <row r="50" spans="2:12" ht="12.75">
      <c r="B50" s="4"/>
      <c r="C50" s="4"/>
      <c r="D50" s="11"/>
      <c r="E50" s="669"/>
      <c r="F50" s="669"/>
      <c r="G50" s="669"/>
      <c r="H50" s="5"/>
      <c r="I50" s="103"/>
      <c r="J50" s="11"/>
      <c r="K50" s="5"/>
      <c r="L50" s="5"/>
    </row>
    <row r="51" spans="2:13" ht="12.75">
      <c r="B51" s="4"/>
      <c r="C51" s="4"/>
      <c r="D51" s="5"/>
      <c r="E51" s="13"/>
      <c r="F51" s="669"/>
      <c r="G51" s="670"/>
      <c r="H51" s="670"/>
      <c r="I51" s="100"/>
      <c r="J51" s="100"/>
      <c r="K51" s="5"/>
      <c r="L51" s="5"/>
      <c r="M51" s="101"/>
    </row>
    <row r="52" spans="2:14" ht="12.75">
      <c r="B52" s="4"/>
      <c r="C52" s="4"/>
      <c r="D52" s="4"/>
      <c r="E52" s="5"/>
      <c r="F52" s="669"/>
      <c r="G52" s="670"/>
      <c r="H52" s="670"/>
      <c r="I52" s="81"/>
      <c r="J52" s="5"/>
      <c r="K52" s="5"/>
      <c r="L52" s="5"/>
      <c r="M52" s="101"/>
      <c r="N52" s="101"/>
    </row>
    <row r="53" spans="2:14" ht="12.75">
      <c r="B53" s="4"/>
      <c r="C53" s="4"/>
      <c r="D53" s="4"/>
      <c r="E53" s="4"/>
      <c r="F53" s="4"/>
      <c r="H53" s="4"/>
      <c r="I53" s="102"/>
      <c r="J53" s="11"/>
      <c r="K53" s="11"/>
      <c r="L53" s="5"/>
      <c r="N53" s="101"/>
    </row>
    <row r="54" spans="2:12" ht="12.75" hidden="1">
      <c r="B54" s="4"/>
      <c r="C54" s="4"/>
      <c r="D54" s="4"/>
      <c r="E54" s="4"/>
      <c r="F54" s="4"/>
      <c r="H54" s="102"/>
      <c r="I54" s="11"/>
      <c r="J54" s="11"/>
      <c r="K54" s="5"/>
      <c r="L54" s="4"/>
    </row>
    <row r="55" spans="2:12" ht="12.75" customHeight="1" hidden="1">
      <c r="B55" s="4"/>
      <c r="C55" s="4"/>
      <c r="D55" s="4"/>
      <c r="E55" s="5"/>
      <c r="F55" s="5"/>
      <c r="G55" s="5"/>
      <c r="H55" s="102"/>
      <c r="I55" s="11"/>
      <c r="J55" s="5"/>
      <c r="K55" s="5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5"/>
      <c r="D57" s="5"/>
      <c r="E57" s="11"/>
      <c r="F57" s="13"/>
      <c r="G57" s="13"/>
      <c r="H57" s="81"/>
      <c r="I57" s="4"/>
      <c r="J57" s="4"/>
      <c r="K57" s="4"/>
      <c r="L57" s="4"/>
    </row>
    <row r="58" spans="2:12" ht="12.75" hidden="1">
      <c r="B58" s="4"/>
      <c r="C58" s="5"/>
      <c r="D58" s="5"/>
      <c r="E58" s="5"/>
      <c r="F58" s="5"/>
      <c r="G58" s="5"/>
      <c r="H58" s="5"/>
      <c r="I58" s="5"/>
      <c r="J58" s="5"/>
      <c r="K58" s="4"/>
      <c r="L58" s="4"/>
    </row>
    <row r="59" spans="2:12" ht="12.75" hidden="1">
      <c r="B59" s="4"/>
      <c r="C59" s="4"/>
      <c r="D59" s="4"/>
      <c r="E59" s="4"/>
      <c r="F59" s="4"/>
      <c r="H59" s="4"/>
      <c r="I59" s="5"/>
      <c r="J59" s="5"/>
      <c r="K59" s="4"/>
      <c r="L59" s="4"/>
    </row>
    <row r="60" spans="2:12" ht="15.75" customHeight="1" hidden="1">
      <c r="B60" s="4"/>
      <c r="C60" s="4"/>
      <c r="D60" s="4"/>
      <c r="E60" s="4"/>
      <c r="F60" s="4"/>
      <c r="H60" s="4"/>
      <c r="I60" s="4"/>
      <c r="J60" s="4"/>
      <c r="L60" s="4"/>
    </row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</sheetData>
  <sheetProtection/>
  <mergeCells count="19">
    <mergeCell ref="G43:I43"/>
    <mergeCell ref="F51:H51"/>
    <mergeCell ref="F52:H52"/>
    <mergeCell ref="E50:G50"/>
    <mergeCell ref="C49:D49"/>
    <mergeCell ref="C47:E47"/>
    <mergeCell ref="C43:E43"/>
    <mergeCell ref="C44:E44"/>
    <mergeCell ref="C45:E45"/>
    <mergeCell ref="C46:E46"/>
    <mergeCell ref="G42:I42"/>
    <mergeCell ref="B7:C7"/>
    <mergeCell ref="B4:C4"/>
    <mergeCell ref="J2:J6"/>
    <mergeCell ref="G41:I41"/>
    <mergeCell ref="C40:E40"/>
    <mergeCell ref="G40:I40"/>
    <mergeCell ref="C41:E41"/>
    <mergeCell ref="C42:E42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C8:C38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B8:B38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D8:H38">
    <cfRule type="expression" priority="7" dxfId="1" stopIfTrue="1">
      <formula>WEEKDAY($B8)=7</formula>
    </cfRule>
    <cfRule type="expression" priority="8" dxfId="0" stopIfTrue="1">
      <formula>WEEKDAY($B8)=1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5"/>
  <dimension ref="A1:O60"/>
  <sheetViews>
    <sheetView defaultGridColor="0" zoomScalePageLayoutView="0" colorId="22" workbookViewId="0" topLeftCell="A1">
      <selection activeCell="F40" sqref="F40"/>
    </sheetView>
  </sheetViews>
  <sheetFormatPr defaultColWidth="0" defaultRowHeight="15.75" customHeight="1" zeroHeight="1"/>
  <cols>
    <col min="1" max="1" width="3.57421875" style="4" customWidth="1"/>
    <col min="2" max="2" width="7.00390625" style="0" customWidth="1"/>
    <col min="3" max="3" width="3.57421875" style="0" customWidth="1"/>
    <col min="4" max="5" width="8.140625" style="0" customWidth="1"/>
    <col min="6" max="6" width="11.00390625" style="0" customWidth="1"/>
    <col min="7" max="7" width="8.003906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3"/>
      <c r="L1" s="14"/>
      <c r="M1" s="14"/>
      <c r="N1" s="14"/>
    </row>
    <row r="2" spans="2:14" ht="15">
      <c r="B2" s="446" t="str">
        <f>"Arbeitszeitachweis August "&amp;gewJahr</f>
        <v>Arbeitszeitachweis August 2018</v>
      </c>
      <c r="C2" s="447"/>
      <c r="D2" s="447"/>
      <c r="E2" s="447"/>
      <c r="F2" s="447"/>
      <c r="G2" s="446"/>
      <c r="H2" s="446"/>
      <c r="I2" s="446"/>
      <c r="J2" s="667" t="s">
        <v>92</v>
      </c>
      <c r="K2" s="13"/>
      <c r="L2" s="63"/>
      <c r="M2" s="14"/>
      <c r="N2" s="14"/>
    </row>
    <row r="3" spans="2:14" ht="12.75" customHeight="1">
      <c r="B3" s="484" t="s">
        <v>124</v>
      </c>
      <c r="C3" s="456" t="str">
        <f>Stammdaten!$B$6</f>
        <v>Mustermann, Hans</v>
      </c>
      <c r="D3" s="449"/>
      <c r="E3" s="449"/>
      <c r="F3" s="450"/>
      <c r="G3" s="450"/>
      <c r="H3" s="445"/>
      <c r="I3" s="451"/>
      <c r="J3" s="643"/>
      <c r="K3" s="14"/>
      <c r="L3" s="13"/>
      <c r="M3" s="13"/>
      <c r="N3" s="13"/>
    </row>
    <row r="4" spans="2:14" ht="11.25" customHeight="1" hidden="1">
      <c r="B4" s="671"/>
      <c r="C4" s="671"/>
      <c r="D4" s="448"/>
      <c r="E4" s="449"/>
      <c r="F4" s="449"/>
      <c r="G4" s="450"/>
      <c r="H4" s="14"/>
      <c r="I4" s="14"/>
      <c r="J4" s="643"/>
      <c r="K4" s="4"/>
      <c r="L4" s="14"/>
      <c r="M4" s="14"/>
      <c r="N4" s="14"/>
    </row>
    <row r="5" spans="2:12" ht="11.25" customHeight="1" hidden="1">
      <c r="B5" s="4"/>
      <c r="C5" s="66">
        <f>IF(Stammdaten!M19="x",1,0)</f>
        <v>0</v>
      </c>
      <c r="D5" s="4"/>
      <c r="E5" s="4"/>
      <c r="F5" s="4"/>
      <c r="H5" s="4"/>
      <c r="I5" s="4"/>
      <c r="J5" s="643"/>
      <c r="K5" s="5"/>
      <c r="L5" s="4"/>
    </row>
    <row r="6" spans="2:14" ht="13.5" customHeight="1">
      <c r="B6" s="43"/>
      <c r="C6" s="43"/>
      <c r="D6" s="43"/>
      <c r="E6" s="43"/>
      <c r="F6" s="43"/>
      <c r="G6" s="43"/>
      <c r="H6" s="43"/>
      <c r="I6" s="43"/>
      <c r="J6" s="668"/>
      <c r="K6" s="78"/>
      <c r="L6" s="5"/>
      <c r="M6" s="5"/>
      <c r="N6" s="5"/>
    </row>
    <row r="7" spans="1:15" s="210" customFormat="1" ht="24.75" customHeight="1">
      <c r="A7" s="207"/>
      <c r="B7" s="648" t="s">
        <v>38</v>
      </c>
      <c r="C7" s="649"/>
      <c r="D7" s="453" t="s">
        <v>247</v>
      </c>
      <c r="E7" s="454" t="s">
        <v>248</v>
      </c>
      <c r="F7" s="455" t="s">
        <v>249</v>
      </c>
      <c r="G7" s="455" t="s">
        <v>250</v>
      </c>
      <c r="H7" s="177" t="s">
        <v>65</v>
      </c>
      <c r="I7" s="178" t="s">
        <v>39</v>
      </c>
      <c r="J7" s="179" t="s">
        <v>89</v>
      </c>
      <c r="K7" s="209"/>
      <c r="L7" s="213"/>
      <c r="M7" s="213"/>
      <c r="N7" s="213"/>
      <c r="O7" s="207"/>
    </row>
    <row r="8" spans="1:15" s="210" customFormat="1" ht="11.25">
      <c r="A8" s="207"/>
      <c r="B8" s="198">
        <f>DATE(gewJahr,8,1)</f>
        <v>43313</v>
      </c>
      <c r="C8" s="199">
        <f aca="true" t="shared" si="0" ref="C8:C38">WEEKDAY(B8)</f>
        <v>4</v>
      </c>
      <c r="D8" s="200">
        <v>0</v>
      </c>
      <c r="E8" s="200">
        <v>0</v>
      </c>
      <c r="F8" s="268">
        <f aca="true" t="shared" si="1" ref="F8:F38">MAX(IF(D8&lt;=E8,E8-D8,"24:00"-D8+E8)-G8,0)</f>
        <v>0</v>
      </c>
      <c r="G8" s="200"/>
      <c r="H8" s="269">
        <f>IF(F8-I8&gt;0,F8-I8,0)</f>
        <v>0</v>
      </c>
      <c r="I8" s="271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197"/>
      <c r="K8" s="208"/>
      <c r="L8" s="209"/>
      <c r="M8" s="209"/>
      <c r="N8" s="209"/>
      <c r="O8" s="207"/>
    </row>
    <row r="9" spans="1:15" s="210" customFormat="1" ht="11.25">
      <c r="A9" s="207"/>
      <c r="B9" s="198">
        <f aca="true" t="shared" si="2" ref="B9:B38">B8+1</f>
        <v>43314</v>
      </c>
      <c r="C9" s="199">
        <f t="shared" si="0"/>
        <v>5</v>
      </c>
      <c r="D9" s="200">
        <v>0</v>
      </c>
      <c r="E9" s="200">
        <v>0</v>
      </c>
      <c r="F9" s="268">
        <f t="shared" si="1"/>
        <v>0</v>
      </c>
      <c r="G9" s="200"/>
      <c r="H9" s="269">
        <f aca="true" t="shared" si="3" ref="H9:H38">IF(F9-I9&gt;0,F9-I9,0)</f>
        <v>0</v>
      </c>
      <c r="I9" s="271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197"/>
      <c r="K9" s="208"/>
      <c r="L9" s="208"/>
      <c r="M9" s="208"/>
      <c r="N9" s="208"/>
      <c r="O9" s="207"/>
    </row>
    <row r="10" spans="1:15" s="210" customFormat="1" ht="11.25">
      <c r="A10" s="207"/>
      <c r="B10" s="198">
        <f t="shared" si="2"/>
        <v>43315</v>
      </c>
      <c r="C10" s="199">
        <f t="shared" si="0"/>
        <v>6</v>
      </c>
      <c r="D10" s="200">
        <v>0</v>
      </c>
      <c r="E10" s="200">
        <v>0</v>
      </c>
      <c r="F10" s="268">
        <f t="shared" si="1"/>
        <v>0</v>
      </c>
      <c r="G10" s="200"/>
      <c r="H10" s="269">
        <f t="shared" si="3"/>
        <v>0</v>
      </c>
      <c r="I10" s="271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197"/>
      <c r="K10" s="208"/>
      <c r="L10" s="208"/>
      <c r="M10" s="208"/>
      <c r="N10" s="208"/>
      <c r="O10" s="207"/>
    </row>
    <row r="11" spans="1:15" s="210" customFormat="1" ht="11.25">
      <c r="A11" s="207"/>
      <c r="B11" s="198">
        <f t="shared" si="2"/>
        <v>43316</v>
      </c>
      <c r="C11" s="199">
        <f t="shared" si="0"/>
        <v>7</v>
      </c>
      <c r="D11" s="200">
        <v>0</v>
      </c>
      <c r="E11" s="200">
        <v>0</v>
      </c>
      <c r="F11" s="268">
        <f t="shared" si="1"/>
        <v>0</v>
      </c>
      <c r="G11" s="200"/>
      <c r="H11" s="269">
        <f t="shared" si="3"/>
        <v>0</v>
      </c>
      <c r="I11" s="271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197"/>
      <c r="K11" s="208"/>
      <c r="L11" s="208"/>
      <c r="M11" s="208"/>
      <c r="N11" s="208"/>
      <c r="O11" s="207"/>
    </row>
    <row r="12" spans="1:15" s="210" customFormat="1" ht="11.25">
      <c r="A12" s="207"/>
      <c r="B12" s="198">
        <f t="shared" si="2"/>
        <v>43317</v>
      </c>
      <c r="C12" s="199">
        <f t="shared" si="0"/>
        <v>1</v>
      </c>
      <c r="D12" s="200">
        <v>0</v>
      </c>
      <c r="E12" s="200">
        <v>0</v>
      </c>
      <c r="F12" s="268">
        <f t="shared" si="1"/>
        <v>0</v>
      </c>
      <c r="G12" s="200"/>
      <c r="H12" s="269">
        <f t="shared" si="3"/>
        <v>0</v>
      </c>
      <c r="I12" s="271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197"/>
      <c r="K12" s="209"/>
      <c r="L12" s="208"/>
      <c r="M12" s="208"/>
      <c r="N12" s="208"/>
      <c r="O12" s="207"/>
    </row>
    <row r="13" spans="1:15" s="210" customFormat="1" ht="11.25">
      <c r="A13" s="207"/>
      <c r="B13" s="198">
        <f t="shared" si="2"/>
        <v>43318</v>
      </c>
      <c r="C13" s="199">
        <f t="shared" si="0"/>
        <v>2</v>
      </c>
      <c r="D13" s="200">
        <v>0</v>
      </c>
      <c r="E13" s="200">
        <v>0</v>
      </c>
      <c r="F13" s="268">
        <f t="shared" si="1"/>
        <v>0</v>
      </c>
      <c r="G13" s="200"/>
      <c r="H13" s="269">
        <f t="shared" si="3"/>
        <v>0</v>
      </c>
      <c r="I13" s="271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197"/>
      <c r="K13" s="208"/>
      <c r="L13" s="209"/>
      <c r="M13" s="208"/>
      <c r="N13" s="208"/>
      <c r="O13" s="207"/>
    </row>
    <row r="14" spans="1:15" s="210" customFormat="1" ht="11.25">
      <c r="A14" s="207"/>
      <c r="B14" s="198">
        <f t="shared" si="2"/>
        <v>43319</v>
      </c>
      <c r="C14" s="199">
        <f t="shared" si="0"/>
        <v>3</v>
      </c>
      <c r="D14" s="200">
        <v>0</v>
      </c>
      <c r="E14" s="200">
        <v>0</v>
      </c>
      <c r="F14" s="268">
        <f t="shared" si="1"/>
        <v>0</v>
      </c>
      <c r="G14" s="200"/>
      <c r="H14" s="269">
        <f t="shared" si="3"/>
        <v>0</v>
      </c>
      <c r="I14" s="271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197"/>
      <c r="K14" s="208"/>
      <c r="L14" s="208"/>
      <c r="M14" s="208"/>
      <c r="N14" s="208"/>
      <c r="O14" s="207"/>
    </row>
    <row r="15" spans="1:15" s="210" customFormat="1" ht="11.25">
      <c r="A15" s="207"/>
      <c r="B15" s="198">
        <f t="shared" si="2"/>
        <v>43320</v>
      </c>
      <c r="C15" s="199">
        <f t="shared" si="0"/>
        <v>4</v>
      </c>
      <c r="D15" s="200">
        <v>0</v>
      </c>
      <c r="E15" s="200">
        <v>0</v>
      </c>
      <c r="F15" s="268">
        <f t="shared" si="1"/>
        <v>0</v>
      </c>
      <c r="G15" s="200"/>
      <c r="H15" s="269">
        <f t="shared" si="3"/>
        <v>0</v>
      </c>
      <c r="I15" s="271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197"/>
      <c r="K15" s="208"/>
      <c r="L15" s="208"/>
      <c r="M15" s="208"/>
      <c r="N15" s="208"/>
      <c r="O15" s="207"/>
    </row>
    <row r="16" spans="1:15" s="210" customFormat="1" ht="11.25">
      <c r="A16" s="207"/>
      <c r="B16" s="198">
        <f t="shared" si="2"/>
        <v>43321</v>
      </c>
      <c r="C16" s="199">
        <f t="shared" si="0"/>
        <v>5</v>
      </c>
      <c r="D16" s="200">
        <v>0</v>
      </c>
      <c r="E16" s="200">
        <v>0</v>
      </c>
      <c r="F16" s="268">
        <f t="shared" si="1"/>
        <v>0</v>
      </c>
      <c r="G16" s="200"/>
      <c r="H16" s="269">
        <f t="shared" si="3"/>
        <v>0</v>
      </c>
      <c r="I16" s="271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197"/>
      <c r="K16" s="208"/>
      <c r="L16" s="208"/>
      <c r="M16" s="208"/>
      <c r="N16" s="208"/>
      <c r="O16" s="207"/>
    </row>
    <row r="17" spans="1:15" s="210" customFormat="1" ht="11.25">
      <c r="A17" s="207"/>
      <c r="B17" s="198">
        <f t="shared" si="2"/>
        <v>43322</v>
      </c>
      <c r="C17" s="199">
        <f t="shared" si="0"/>
        <v>6</v>
      </c>
      <c r="D17" s="200">
        <v>0</v>
      </c>
      <c r="E17" s="200">
        <v>0</v>
      </c>
      <c r="F17" s="268">
        <f t="shared" si="1"/>
        <v>0</v>
      </c>
      <c r="G17" s="200"/>
      <c r="H17" s="269">
        <f t="shared" si="3"/>
        <v>0</v>
      </c>
      <c r="I17" s="271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197"/>
      <c r="K17" s="208"/>
      <c r="L17" s="208"/>
      <c r="M17" s="208"/>
      <c r="N17" s="208"/>
      <c r="O17" s="207"/>
    </row>
    <row r="18" spans="1:15" s="210" customFormat="1" ht="11.25">
      <c r="A18" s="207"/>
      <c r="B18" s="198">
        <f t="shared" si="2"/>
        <v>43323</v>
      </c>
      <c r="C18" s="199">
        <f t="shared" si="0"/>
        <v>7</v>
      </c>
      <c r="D18" s="200">
        <v>0</v>
      </c>
      <c r="E18" s="200">
        <v>0</v>
      </c>
      <c r="F18" s="268">
        <f t="shared" si="1"/>
        <v>0</v>
      </c>
      <c r="G18" s="200"/>
      <c r="H18" s="269">
        <f t="shared" si="3"/>
        <v>0</v>
      </c>
      <c r="I18" s="271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197"/>
      <c r="K18" s="208"/>
      <c r="L18" s="208"/>
      <c r="M18" s="208"/>
      <c r="N18" s="208"/>
      <c r="O18" s="207"/>
    </row>
    <row r="19" spans="1:15" s="210" customFormat="1" ht="11.25">
      <c r="A19" s="207"/>
      <c r="B19" s="198">
        <f t="shared" si="2"/>
        <v>43324</v>
      </c>
      <c r="C19" s="199">
        <f t="shared" si="0"/>
        <v>1</v>
      </c>
      <c r="D19" s="200">
        <v>0</v>
      </c>
      <c r="E19" s="200">
        <v>0</v>
      </c>
      <c r="F19" s="268">
        <f t="shared" si="1"/>
        <v>0</v>
      </c>
      <c r="G19" s="200"/>
      <c r="H19" s="269">
        <f t="shared" si="3"/>
        <v>0</v>
      </c>
      <c r="I19" s="271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197"/>
      <c r="K19" s="208"/>
      <c r="L19" s="208"/>
      <c r="M19" s="208"/>
      <c r="N19" s="208"/>
      <c r="O19" s="207"/>
    </row>
    <row r="20" spans="1:15" s="210" customFormat="1" ht="11.25">
      <c r="A20" s="207"/>
      <c r="B20" s="198">
        <f t="shared" si="2"/>
        <v>43325</v>
      </c>
      <c r="C20" s="199">
        <f t="shared" si="0"/>
        <v>2</v>
      </c>
      <c r="D20" s="200">
        <v>0</v>
      </c>
      <c r="E20" s="200">
        <v>0</v>
      </c>
      <c r="F20" s="268">
        <f t="shared" si="1"/>
        <v>0</v>
      </c>
      <c r="G20" s="200"/>
      <c r="H20" s="269">
        <f t="shared" si="3"/>
        <v>0</v>
      </c>
      <c r="I20" s="271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197"/>
      <c r="K20" s="208"/>
      <c r="L20" s="208"/>
      <c r="M20" s="208"/>
      <c r="N20" s="208"/>
      <c r="O20" s="207"/>
    </row>
    <row r="21" spans="1:15" s="210" customFormat="1" ht="11.25">
      <c r="A21" s="207"/>
      <c r="B21" s="198">
        <f t="shared" si="2"/>
        <v>43326</v>
      </c>
      <c r="C21" s="199">
        <f t="shared" si="0"/>
        <v>3</v>
      </c>
      <c r="D21" s="200">
        <v>0</v>
      </c>
      <c r="E21" s="200">
        <v>0</v>
      </c>
      <c r="F21" s="268">
        <f t="shared" si="1"/>
        <v>0</v>
      </c>
      <c r="G21" s="200"/>
      <c r="H21" s="269">
        <f t="shared" si="3"/>
        <v>0</v>
      </c>
      <c r="I21" s="271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197"/>
      <c r="K21" s="208"/>
      <c r="L21" s="208"/>
      <c r="M21" s="208"/>
      <c r="N21" s="208"/>
      <c r="O21" s="207"/>
    </row>
    <row r="22" spans="1:15" s="210" customFormat="1" ht="11.25">
      <c r="A22" s="207"/>
      <c r="B22" s="223">
        <f>B21+1</f>
        <v>43327</v>
      </c>
      <c r="C22" s="224">
        <f>WEEKDAY(B22)</f>
        <v>4</v>
      </c>
      <c r="D22" s="225">
        <v>0</v>
      </c>
      <c r="E22" s="225">
        <v>0</v>
      </c>
      <c r="F22" s="225">
        <f>MAX(IF(D22&lt;=E22,E22-D22,"24:00"-D22+E22)-G22,0)</f>
        <v>0</v>
      </c>
      <c r="G22" s="225"/>
      <c r="H22" s="225">
        <v>0</v>
      </c>
      <c r="I22" s="271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197"/>
      <c r="K22" s="208"/>
      <c r="L22" s="208"/>
      <c r="M22" s="208"/>
      <c r="N22" s="208"/>
      <c r="O22" s="207"/>
    </row>
    <row r="23" spans="1:15" s="210" customFormat="1" ht="11.25">
      <c r="A23" s="207"/>
      <c r="B23" s="198">
        <f t="shared" si="2"/>
        <v>43328</v>
      </c>
      <c r="C23" s="199">
        <f t="shared" si="0"/>
        <v>5</v>
      </c>
      <c r="D23" s="200">
        <v>0</v>
      </c>
      <c r="E23" s="200">
        <v>0</v>
      </c>
      <c r="F23" s="268">
        <f t="shared" si="1"/>
        <v>0</v>
      </c>
      <c r="G23" s="200"/>
      <c r="H23" s="269">
        <f t="shared" si="3"/>
        <v>0</v>
      </c>
      <c r="I23" s="271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197"/>
      <c r="K23" s="208"/>
      <c r="L23" s="208"/>
      <c r="M23" s="208"/>
      <c r="N23" s="208"/>
      <c r="O23" s="207"/>
    </row>
    <row r="24" spans="1:15" s="210" customFormat="1" ht="11.25">
      <c r="A24" s="207"/>
      <c r="B24" s="198">
        <f t="shared" si="2"/>
        <v>43329</v>
      </c>
      <c r="C24" s="199">
        <f t="shared" si="0"/>
        <v>6</v>
      </c>
      <c r="D24" s="200">
        <v>0</v>
      </c>
      <c r="E24" s="200">
        <v>0</v>
      </c>
      <c r="F24" s="268">
        <f t="shared" si="1"/>
        <v>0</v>
      </c>
      <c r="G24" s="200"/>
      <c r="H24" s="269">
        <f t="shared" si="3"/>
        <v>0</v>
      </c>
      <c r="I24" s="271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197"/>
      <c r="K24" s="208"/>
      <c r="L24" s="208"/>
      <c r="M24" s="208"/>
      <c r="N24" s="208"/>
      <c r="O24" s="207"/>
    </row>
    <row r="25" spans="1:15" s="210" customFormat="1" ht="11.25">
      <c r="A25" s="207"/>
      <c r="B25" s="198">
        <f t="shared" si="2"/>
        <v>43330</v>
      </c>
      <c r="C25" s="199">
        <f t="shared" si="0"/>
        <v>7</v>
      </c>
      <c r="D25" s="200">
        <v>0</v>
      </c>
      <c r="E25" s="200">
        <v>0</v>
      </c>
      <c r="F25" s="268">
        <f t="shared" si="1"/>
        <v>0</v>
      </c>
      <c r="G25" s="200"/>
      <c r="H25" s="269">
        <f t="shared" si="3"/>
        <v>0</v>
      </c>
      <c r="I25" s="271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197"/>
      <c r="K25" s="208"/>
      <c r="L25" s="208"/>
      <c r="M25" s="208"/>
      <c r="N25" s="208"/>
      <c r="O25" s="207"/>
    </row>
    <row r="26" spans="1:15" s="210" customFormat="1" ht="11.25">
      <c r="A26" s="207"/>
      <c r="B26" s="198">
        <f t="shared" si="2"/>
        <v>43331</v>
      </c>
      <c r="C26" s="199">
        <f t="shared" si="0"/>
        <v>1</v>
      </c>
      <c r="D26" s="200">
        <v>0</v>
      </c>
      <c r="E26" s="200">
        <v>0</v>
      </c>
      <c r="F26" s="268">
        <f t="shared" si="1"/>
        <v>0</v>
      </c>
      <c r="G26" s="200"/>
      <c r="H26" s="269">
        <f t="shared" si="3"/>
        <v>0</v>
      </c>
      <c r="I26" s="271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197"/>
      <c r="K26" s="208"/>
      <c r="L26" s="208"/>
      <c r="M26" s="208"/>
      <c r="N26" s="208"/>
      <c r="O26" s="207"/>
    </row>
    <row r="27" spans="1:15" s="210" customFormat="1" ht="11.25">
      <c r="A27" s="207"/>
      <c r="B27" s="198">
        <f t="shared" si="2"/>
        <v>43332</v>
      </c>
      <c r="C27" s="199">
        <f t="shared" si="0"/>
        <v>2</v>
      </c>
      <c r="D27" s="200">
        <v>0</v>
      </c>
      <c r="E27" s="200">
        <v>0</v>
      </c>
      <c r="F27" s="268">
        <f t="shared" si="1"/>
        <v>0</v>
      </c>
      <c r="G27" s="200"/>
      <c r="H27" s="269">
        <f t="shared" si="3"/>
        <v>0</v>
      </c>
      <c r="I27" s="271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197"/>
      <c r="K27" s="208"/>
      <c r="L27" s="208"/>
      <c r="M27" s="208"/>
      <c r="N27" s="208"/>
      <c r="O27" s="207"/>
    </row>
    <row r="28" spans="1:15" s="210" customFormat="1" ht="11.25">
      <c r="A28" s="207"/>
      <c r="B28" s="198">
        <f t="shared" si="2"/>
        <v>43333</v>
      </c>
      <c r="C28" s="199">
        <f t="shared" si="0"/>
        <v>3</v>
      </c>
      <c r="D28" s="200">
        <v>0</v>
      </c>
      <c r="E28" s="200">
        <v>0</v>
      </c>
      <c r="F28" s="268">
        <f t="shared" si="1"/>
        <v>0</v>
      </c>
      <c r="G28" s="200"/>
      <c r="H28" s="269">
        <f t="shared" si="3"/>
        <v>0</v>
      </c>
      <c r="I28" s="271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197"/>
      <c r="K28" s="208"/>
      <c r="L28" s="208"/>
      <c r="M28" s="208"/>
      <c r="N28" s="208"/>
      <c r="O28" s="207"/>
    </row>
    <row r="29" spans="1:15" s="210" customFormat="1" ht="11.25">
      <c r="A29" s="207"/>
      <c r="B29" s="198">
        <f t="shared" si="2"/>
        <v>43334</v>
      </c>
      <c r="C29" s="199">
        <f t="shared" si="0"/>
        <v>4</v>
      </c>
      <c r="D29" s="200">
        <v>0</v>
      </c>
      <c r="E29" s="200">
        <v>0</v>
      </c>
      <c r="F29" s="268">
        <f t="shared" si="1"/>
        <v>0</v>
      </c>
      <c r="G29" s="200"/>
      <c r="H29" s="269">
        <f t="shared" si="3"/>
        <v>0</v>
      </c>
      <c r="I29" s="271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197"/>
      <c r="K29" s="208"/>
      <c r="L29" s="208"/>
      <c r="M29" s="208"/>
      <c r="N29" s="208"/>
      <c r="O29" s="207"/>
    </row>
    <row r="30" spans="1:15" s="210" customFormat="1" ht="11.25">
      <c r="A30" s="207"/>
      <c r="B30" s="198">
        <f t="shared" si="2"/>
        <v>43335</v>
      </c>
      <c r="C30" s="199">
        <f t="shared" si="0"/>
        <v>5</v>
      </c>
      <c r="D30" s="200">
        <v>0</v>
      </c>
      <c r="E30" s="200">
        <v>0</v>
      </c>
      <c r="F30" s="268">
        <f t="shared" si="1"/>
        <v>0</v>
      </c>
      <c r="G30" s="200"/>
      <c r="H30" s="269">
        <f t="shared" si="3"/>
        <v>0</v>
      </c>
      <c r="I30" s="271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197"/>
      <c r="K30" s="208"/>
      <c r="L30" s="208"/>
      <c r="M30" s="208"/>
      <c r="N30" s="208"/>
      <c r="O30" s="207"/>
    </row>
    <row r="31" spans="1:15" s="210" customFormat="1" ht="11.25">
      <c r="A31" s="207"/>
      <c r="B31" s="198">
        <f t="shared" si="2"/>
        <v>43336</v>
      </c>
      <c r="C31" s="199">
        <f t="shared" si="0"/>
        <v>6</v>
      </c>
      <c r="D31" s="200">
        <v>0</v>
      </c>
      <c r="E31" s="200">
        <v>0</v>
      </c>
      <c r="F31" s="268">
        <f t="shared" si="1"/>
        <v>0</v>
      </c>
      <c r="G31" s="200"/>
      <c r="H31" s="269">
        <f t="shared" si="3"/>
        <v>0</v>
      </c>
      <c r="I31" s="271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197"/>
      <c r="K31" s="208"/>
      <c r="L31" s="208"/>
      <c r="M31" s="208"/>
      <c r="N31" s="208"/>
      <c r="O31" s="207"/>
    </row>
    <row r="32" spans="1:15" s="210" customFormat="1" ht="11.25">
      <c r="A32" s="207"/>
      <c r="B32" s="198">
        <f t="shared" si="2"/>
        <v>43337</v>
      </c>
      <c r="C32" s="199">
        <f t="shared" si="0"/>
        <v>7</v>
      </c>
      <c r="D32" s="200">
        <v>0</v>
      </c>
      <c r="E32" s="200">
        <v>0</v>
      </c>
      <c r="F32" s="268">
        <f t="shared" si="1"/>
        <v>0</v>
      </c>
      <c r="G32" s="200"/>
      <c r="H32" s="269">
        <f t="shared" si="3"/>
        <v>0</v>
      </c>
      <c r="I32" s="271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197"/>
      <c r="K32" s="208"/>
      <c r="L32" s="208"/>
      <c r="M32" s="208"/>
      <c r="N32" s="208"/>
      <c r="O32" s="207"/>
    </row>
    <row r="33" spans="1:15" s="210" customFormat="1" ht="11.25">
      <c r="A33" s="207"/>
      <c r="B33" s="198">
        <f t="shared" si="2"/>
        <v>43338</v>
      </c>
      <c r="C33" s="199">
        <f t="shared" si="0"/>
        <v>1</v>
      </c>
      <c r="D33" s="200">
        <v>0</v>
      </c>
      <c r="E33" s="200">
        <v>0</v>
      </c>
      <c r="F33" s="268">
        <f t="shared" si="1"/>
        <v>0</v>
      </c>
      <c r="G33" s="200"/>
      <c r="H33" s="269">
        <f t="shared" si="3"/>
        <v>0</v>
      </c>
      <c r="I33" s="271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197"/>
      <c r="K33" s="208"/>
      <c r="L33" s="208"/>
      <c r="M33" s="208"/>
      <c r="N33" s="208"/>
      <c r="O33" s="207"/>
    </row>
    <row r="34" spans="1:15" s="210" customFormat="1" ht="11.25">
      <c r="A34" s="207"/>
      <c r="B34" s="198">
        <f t="shared" si="2"/>
        <v>43339</v>
      </c>
      <c r="C34" s="199">
        <f t="shared" si="0"/>
        <v>2</v>
      </c>
      <c r="D34" s="200">
        <v>0</v>
      </c>
      <c r="E34" s="200">
        <v>0</v>
      </c>
      <c r="F34" s="268">
        <f t="shared" si="1"/>
        <v>0</v>
      </c>
      <c r="G34" s="200"/>
      <c r="H34" s="269">
        <f t="shared" si="3"/>
        <v>0</v>
      </c>
      <c r="I34" s="271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197"/>
      <c r="K34" s="208"/>
      <c r="L34" s="208"/>
      <c r="M34" s="208"/>
      <c r="N34" s="208"/>
      <c r="O34" s="207"/>
    </row>
    <row r="35" spans="1:15" s="210" customFormat="1" ht="11.25">
      <c r="A35" s="207"/>
      <c r="B35" s="198">
        <f t="shared" si="2"/>
        <v>43340</v>
      </c>
      <c r="C35" s="199">
        <f t="shared" si="0"/>
        <v>3</v>
      </c>
      <c r="D35" s="200">
        <v>0</v>
      </c>
      <c r="E35" s="200">
        <v>0</v>
      </c>
      <c r="F35" s="268">
        <f t="shared" si="1"/>
        <v>0</v>
      </c>
      <c r="G35" s="200"/>
      <c r="H35" s="269">
        <f t="shared" si="3"/>
        <v>0</v>
      </c>
      <c r="I35" s="271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197"/>
      <c r="K35" s="208"/>
      <c r="L35" s="208"/>
      <c r="M35" s="208"/>
      <c r="N35" s="208"/>
      <c r="O35" s="207"/>
    </row>
    <row r="36" spans="1:15" s="210" customFormat="1" ht="11.25">
      <c r="A36" s="207"/>
      <c r="B36" s="198">
        <f t="shared" si="2"/>
        <v>43341</v>
      </c>
      <c r="C36" s="199">
        <f t="shared" si="0"/>
        <v>4</v>
      </c>
      <c r="D36" s="200">
        <v>0</v>
      </c>
      <c r="E36" s="200">
        <v>0</v>
      </c>
      <c r="F36" s="268">
        <f t="shared" si="1"/>
        <v>0</v>
      </c>
      <c r="G36" s="200"/>
      <c r="H36" s="269">
        <f t="shared" si="3"/>
        <v>0</v>
      </c>
      <c r="I36" s="271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197"/>
      <c r="K36" s="208"/>
      <c r="L36" s="208"/>
      <c r="M36" s="208"/>
      <c r="N36" s="208"/>
      <c r="O36" s="207"/>
    </row>
    <row r="37" spans="1:15" s="210" customFormat="1" ht="11.25">
      <c r="A37" s="207"/>
      <c r="B37" s="198">
        <f t="shared" si="2"/>
        <v>43342</v>
      </c>
      <c r="C37" s="199">
        <f t="shared" si="0"/>
        <v>5</v>
      </c>
      <c r="D37" s="200">
        <v>0</v>
      </c>
      <c r="E37" s="200">
        <v>0</v>
      </c>
      <c r="F37" s="268">
        <f t="shared" si="1"/>
        <v>0</v>
      </c>
      <c r="G37" s="200"/>
      <c r="H37" s="269">
        <f t="shared" si="3"/>
        <v>0</v>
      </c>
      <c r="I37" s="271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197"/>
      <c r="K37" s="208"/>
      <c r="L37" s="208"/>
      <c r="M37" s="208"/>
      <c r="N37" s="208"/>
      <c r="O37" s="207"/>
    </row>
    <row r="38" spans="1:15" s="210" customFormat="1" ht="11.25">
      <c r="A38" s="207"/>
      <c r="B38" s="198">
        <f t="shared" si="2"/>
        <v>43343</v>
      </c>
      <c r="C38" s="199">
        <f t="shared" si="0"/>
        <v>6</v>
      </c>
      <c r="D38" s="200">
        <v>0</v>
      </c>
      <c r="E38" s="200">
        <v>0</v>
      </c>
      <c r="F38" s="268">
        <f t="shared" si="1"/>
        <v>0</v>
      </c>
      <c r="G38" s="200"/>
      <c r="H38" s="269">
        <f t="shared" si="3"/>
        <v>0</v>
      </c>
      <c r="I38" s="271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197"/>
      <c r="K38" s="208"/>
      <c r="L38" s="208"/>
      <c r="M38" s="208"/>
      <c r="N38" s="208"/>
      <c r="O38" s="207"/>
    </row>
    <row r="39" spans="1:15" s="210" customFormat="1" ht="12" customHeight="1">
      <c r="A39" s="211"/>
      <c r="B39" s="188"/>
      <c r="C39" s="188"/>
      <c r="D39" s="577" t="s">
        <v>88</v>
      </c>
      <c r="E39" s="578"/>
      <c r="F39" s="270">
        <f>SUM(F7:F38)</f>
        <v>0</v>
      </c>
      <c r="G39" s="281"/>
      <c r="H39" s="270">
        <f>SUM(H8:H38)</f>
        <v>0</v>
      </c>
      <c r="I39" s="272">
        <f>SUM(I8:I38)</f>
        <v>0</v>
      </c>
      <c r="J39" s="244"/>
      <c r="K39" s="208"/>
      <c r="L39" s="208"/>
      <c r="M39" s="208"/>
      <c r="N39" s="208"/>
      <c r="O39" s="207"/>
    </row>
    <row r="40" spans="1:15" s="210" customFormat="1" ht="12" customHeight="1">
      <c r="A40" s="211"/>
      <c r="B40" s="188"/>
      <c r="C40" s="657" t="s">
        <v>318</v>
      </c>
      <c r="D40" s="657"/>
      <c r="E40" s="658"/>
      <c r="F40" s="576">
        <f>SUM(H39,PRODUCT(SUM(J40,J42,J32),Stammdaten!H28))</f>
        <v>0</v>
      </c>
      <c r="G40" s="664" t="s">
        <v>90</v>
      </c>
      <c r="H40" s="665"/>
      <c r="I40" s="666"/>
      <c r="J40" s="204">
        <f>COUNTIF(J8:J38,"u")</f>
        <v>0</v>
      </c>
      <c r="K40" s="208"/>
      <c r="L40" s="208"/>
      <c r="M40" s="208"/>
      <c r="N40" s="208"/>
      <c r="O40" s="207"/>
    </row>
    <row r="41" spans="1:15" s="210" customFormat="1" ht="11.25">
      <c r="A41" s="211"/>
      <c r="B41" s="188"/>
      <c r="C41" s="659" t="s">
        <v>117</v>
      </c>
      <c r="D41" s="659"/>
      <c r="E41" s="660"/>
      <c r="F41" s="282">
        <v>0</v>
      </c>
      <c r="G41" s="650" t="s">
        <v>115</v>
      </c>
      <c r="H41" s="651"/>
      <c r="I41" s="652"/>
      <c r="J41" s="205">
        <f>Juli!J41-J40</f>
        <v>25</v>
      </c>
      <c r="K41" s="208"/>
      <c r="L41" s="208"/>
      <c r="M41" s="208"/>
      <c r="N41" s="208"/>
      <c r="O41" s="207"/>
    </row>
    <row r="42" spans="1:15" s="210" customFormat="1" ht="11.25">
      <c r="A42" s="211"/>
      <c r="B42" s="188"/>
      <c r="C42" s="615" t="s">
        <v>121</v>
      </c>
      <c r="D42" s="615"/>
      <c r="E42" s="661"/>
      <c r="F42" s="283">
        <v>0</v>
      </c>
      <c r="G42" s="664" t="s">
        <v>91</v>
      </c>
      <c r="H42" s="665"/>
      <c r="I42" s="666"/>
      <c r="J42" s="206">
        <f>COUNTIF(J8:J38,"k")</f>
        <v>0</v>
      </c>
      <c r="K42" s="193"/>
      <c r="L42" s="212"/>
      <c r="M42" s="197">
        <f>COUNTIF(M8:M38,"k")</f>
        <v>0</v>
      </c>
      <c r="N42" s="208"/>
      <c r="O42" s="207"/>
    </row>
    <row r="43" spans="1:15" s="210" customFormat="1" ht="11.25">
      <c r="A43" s="211"/>
      <c r="B43" s="188"/>
      <c r="C43" s="662" t="s">
        <v>122</v>
      </c>
      <c r="D43" s="662"/>
      <c r="E43" s="663"/>
      <c r="F43" s="284">
        <v>0</v>
      </c>
      <c r="G43" s="664" t="s">
        <v>116</v>
      </c>
      <c r="H43" s="640"/>
      <c r="I43" s="640"/>
      <c r="J43" s="197">
        <f>COUNTIF(J8:J38,"nu")</f>
        <v>0</v>
      </c>
      <c r="K43" s="208"/>
      <c r="L43" s="208"/>
      <c r="M43" s="208"/>
      <c r="N43" s="208"/>
      <c r="O43" s="207"/>
    </row>
    <row r="44" spans="1:15" s="210" customFormat="1" ht="12.75">
      <c r="A44" s="211"/>
      <c r="B44" s="188"/>
      <c r="C44" s="615" t="str">
        <f>Stammdaten!$F$23</f>
        <v>Sonderschicht I</v>
      </c>
      <c r="D44" s="615"/>
      <c r="E44" s="661"/>
      <c r="F44" s="283">
        <v>0</v>
      </c>
      <c r="H44" s="81"/>
      <c r="I44" s="5"/>
      <c r="J44" s="5"/>
      <c r="K44" s="208"/>
      <c r="L44" s="208"/>
      <c r="M44" s="208"/>
      <c r="N44" s="208"/>
      <c r="O44" s="207"/>
    </row>
    <row r="45" spans="1:15" s="210" customFormat="1" ht="11.25">
      <c r="A45" s="211"/>
      <c r="B45" s="188"/>
      <c r="C45" s="615" t="str">
        <f>Stammdaten!$G$24</f>
        <v>Sonderschicht II</v>
      </c>
      <c r="D45" s="615"/>
      <c r="E45" s="661"/>
      <c r="F45" s="283">
        <v>0</v>
      </c>
      <c r="G45" s="193"/>
      <c r="H45" s="485"/>
      <c r="I45" s="492"/>
      <c r="J45" s="211"/>
      <c r="K45" s="208"/>
      <c r="L45" s="208"/>
      <c r="M45" s="208"/>
      <c r="N45" s="208"/>
      <c r="O45" s="207"/>
    </row>
    <row r="46" spans="1:14" ht="11.25" customHeight="1">
      <c r="A46" s="165"/>
      <c r="B46" s="182"/>
      <c r="C46" s="653" t="s">
        <v>183</v>
      </c>
      <c r="D46" s="653"/>
      <c r="E46" s="654"/>
      <c r="F46" s="274">
        <f>$I$39</f>
        <v>0</v>
      </c>
      <c r="G46" s="183"/>
      <c r="H46" s="81"/>
      <c r="I46" s="5"/>
      <c r="J46" s="5"/>
      <c r="K46" s="77"/>
      <c r="L46" s="65"/>
      <c r="M46" s="65"/>
      <c r="N46" s="65"/>
    </row>
    <row r="47" spans="2:12" ht="12.75">
      <c r="B47" s="182"/>
      <c r="C47" s="655" t="s">
        <v>33</v>
      </c>
      <c r="D47" s="655"/>
      <c r="E47" s="656"/>
      <c r="F47" s="564">
        <f>Arbeitszeitübersicht!D8/24</f>
        <v>0.4791666666666667</v>
      </c>
      <c r="G47" s="222"/>
      <c r="H47" s="81"/>
      <c r="I47" s="5"/>
      <c r="J47" s="5"/>
      <c r="K47" s="5"/>
      <c r="L47" s="4"/>
    </row>
    <row r="48" spans="2:14" ht="12.75">
      <c r="B48" s="4"/>
      <c r="C48" s="4"/>
      <c r="D48" s="4"/>
      <c r="E48" s="4"/>
      <c r="F48" s="4"/>
      <c r="H48" s="4"/>
      <c r="I48" s="102"/>
      <c r="J48" s="11"/>
      <c r="K48" s="11"/>
      <c r="L48" s="5"/>
      <c r="N48" s="101"/>
    </row>
    <row r="49" spans="2:12" ht="12.75">
      <c r="B49" s="5"/>
      <c r="C49" s="665"/>
      <c r="D49" s="665"/>
      <c r="E49" s="459" t="s">
        <v>251</v>
      </c>
      <c r="F49" s="460"/>
      <c r="G49" s="457"/>
      <c r="H49" s="458"/>
      <c r="I49" s="457"/>
      <c r="J49" s="457"/>
      <c r="K49" s="5"/>
      <c r="L49" s="4"/>
    </row>
    <row r="50" spans="2:12" ht="12.75">
      <c r="B50" s="5"/>
      <c r="C50" s="193"/>
      <c r="D50" s="193"/>
      <c r="E50" s="459"/>
      <c r="F50" s="459"/>
      <c r="G50" s="461"/>
      <c r="H50" s="65"/>
      <c r="I50" s="461"/>
      <c r="J50" s="461"/>
      <c r="K50" s="5"/>
      <c r="L50" s="4"/>
    </row>
    <row r="51" spans="2:13" ht="12.75">
      <c r="B51" s="4"/>
      <c r="C51" s="4"/>
      <c r="D51" s="5"/>
      <c r="E51" s="13"/>
      <c r="F51" s="669"/>
      <c r="G51" s="670"/>
      <c r="H51" s="670"/>
      <c r="I51" s="100"/>
      <c r="J51" s="100"/>
      <c r="K51" s="5"/>
      <c r="L51" s="5"/>
      <c r="M51" s="101"/>
    </row>
    <row r="52" spans="2:14" ht="12.75">
      <c r="B52" s="4"/>
      <c r="C52" s="4"/>
      <c r="D52" s="4"/>
      <c r="E52" s="5"/>
      <c r="F52" s="669"/>
      <c r="G52" s="670"/>
      <c r="H52" s="670"/>
      <c r="I52" s="81"/>
      <c r="J52" s="5"/>
      <c r="K52" s="5"/>
      <c r="L52" s="5"/>
      <c r="M52" s="101"/>
      <c r="N52" s="101"/>
    </row>
    <row r="53" spans="2:14" ht="12.75">
      <c r="B53" s="4"/>
      <c r="C53" s="4"/>
      <c r="D53" s="4"/>
      <c r="E53" s="4"/>
      <c r="F53" s="4"/>
      <c r="H53" s="4"/>
      <c r="I53" s="102"/>
      <c r="J53" s="11"/>
      <c r="K53" s="11"/>
      <c r="L53" s="5"/>
      <c r="N53" s="101"/>
    </row>
    <row r="54" spans="2:12" ht="0.75" customHeight="1">
      <c r="B54" s="4"/>
      <c r="C54" s="4"/>
      <c r="D54" s="4"/>
      <c r="E54" s="4"/>
      <c r="F54" s="4"/>
      <c r="H54" s="102"/>
      <c r="I54" s="11"/>
      <c r="J54" s="11"/>
      <c r="K54" s="5"/>
      <c r="L54" s="4"/>
    </row>
    <row r="55" spans="2:12" ht="12.75" customHeight="1" hidden="1">
      <c r="B55" s="4"/>
      <c r="C55" s="4"/>
      <c r="D55" s="4"/>
      <c r="E55" s="5"/>
      <c r="F55" s="5"/>
      <c r="G55" s="5"/>
      <c r="H55" s="102"/>
      <c r="I55" s="11"/>
      <c r="J55" s="5"/>
      <c r="K55" s="5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5"/>
      <c r="D57" s="5"/>
      <c r="E57" s="11"/>
      <c r="F57" s="13"/>
      <c r="G57" s="13"/>
      <c r="H57" s="81"/>
      <c r="I57" s="4"/>
      <c r="J57" s="4"/>
      <c r="K57" s="4"/>
      <c r="L57" s="4"/>
    </row>
    <row r="58" spans="2:12" ht="12.75" hidden="1">
      <c r="B58" s="4"/>
      <c r="C58" s="5"/>
      <c r="D58" s="5"/>
      <c r="E58" s="5"/>
      <c r="F58" s="5"/>
      <c r="G58" s="5"/>
      <c r="H58" s="5"/>
      <c r="I58" s="5"/>
      <c r="J58" s="5"/>
      <c r="K58" s="4"/>
      <c r="L58" s="4"/>
    </row>
    <row r="59" spans="2:12" ht="12.75" hidden="1">
      <c r="B59" s="4"/>
      <c r="C59" s="4"/>
      <c r="D59" s="4"/>
      <c r="E59" s="4"/>
      <c r="F59" s="4"/>
      <c r="H59" s="4"/>
      <c r="I59" s="5"/>
      <c r="J59" s="5"/>
      <c r="K59" s="4"/>
      <c r="L59" s="4"/>
    </row>
    <row r="60" spans="2:12" ht="15.75" customHeight="1" hidden="1">
      <c r="B60" s="4"/>
      <c r="C60" s="4"/>
      <c r="D60" s="4"/>
      <c r="E60" s="4"/>
      <c r="F60" s="4"/>
      <c r="H60" s="4"/>
      <c r="I60" s="4"/>
      <c r="J60" s="4"/>
      <c r="L60" s="4"/>
    </row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</sheetData>
  <sheetProtection/>
  <mergeCells count="18">
    <mergeCell ref="C46:E46"/>
    <mergeCell ref="G43:I43"/>
    <mergeCell ref="F51:H51"/>
    <mergeCell ref="F52:H52"/>
    <mergeCell ref="C49:D49"/>
    <mergeCell ref="C47:E47"/>
    <mergeCell ref="G42:I42"/>
    <mergeCell ref="C42:E42"/>
    <mergeCell ref="C43:E43"/>
    <mergeCell ref="C44:E44"/>
    <mergeCell ref="C45:E45"/>
    <mergeCell ref="B7:C7"/>
    <mergeCell ref="B4:C4"/>
    <mergeCell ref="J2:J6"/>
    <mergeCell ref="G41:I41"/>
    <mergeCell ref="C40:E40"/>
    <mergeCell ref="G40:I40"/>
    <mergeCell ref="C41:E41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23:B38 B8:B21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C23:C38 C8:C21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D8:H21 D23:H38">
    <cfRule type="expression" priority="7" dxfId="1" stopIfTrue="1">
      <formula>WEEKDAY($B8)=7</formula>
    </cfRule>
    <cfRule type="expression" priority="8" dxfId="0" stopIfTrue="1">
      <formula>WEEKDAY($B8)=1</formula>
    </cfRule>
  </conditionalFormatting>
  <conditionalFormatting sqref="C22:G22">
    <cfRule type="expression" priority="9" dxfId="29" stopIfTrue="1">
      <formula>$C5=1</formula>
    </cfRule>
    <cfRule type="expression" priority="10" dxfId="50" stopIfTrue="1">
      <formula>WEEKDAY($B22)=7</formula>
    </cfRule>
    <cfRule type="expression" priority="11" dxfId="0" stopIfTrue="1">
      <formula>WEEKDAY($B22)=1</formula>
    </cfRule>
  </conditionalFormatting>
  <conditionalFormatting sqref="B22">
    <cfRule type="expression" priority="12" dxfId="29" stopIfTrue="1">
      <formula>C5=1</formula>
    </cfRule>
    <cfRule type="expression" priority="13" dxfId="50" stopIfTrue="1">
      <formula>WEEKDAY($B22)=7</formula>
    </cfRule>
    <cfRule type="expression" priority="14" dxfId="0" stopIfTrue="1">
      <formula>WEEKDAY($B22)=1</formula>
    </cfRule>
  </conditionalFormatting>
  <conditionalFormatting sqref="H22">
    <cfRule type="expression" priority="15" dxfId="29" stopIfTrue="1">
      <formula>$C5=1</formula>
    </cfRule>
    <cfRule type="expression" priority="16" dxfId="50" stopIfTrue="1">
      <formula>WEEKDAY($B22)=7</formula>
    </cfRule>
    <cfRule type="expression" priority="17" dxfId="0" stopIfTrue="1">
      <formula>WEEKDAY($B22)=1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6"/>
  <dimension ref="A1:O60"/>
  <sheetViews>
    <sheetView defaultGridColor="0" zoomScalePageLayoutView="0" colorId="22" workbookViewId="0" topLeftCell="A1">
      <selection activeCell="F40" sqref="F40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3.57421875" style="0" customWidth="1"/>
    <col min="4" max="4" width="7.57421875" style="0" customWidth="1"/>
    <col min="5" max="5" width="7.851562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574218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3"/>
      <c r="L1" s="14"/>
      <c r="M1" s="14"/>
      <c r="N1" s="14"/>
    </row>
    <row r="2" spans="2:14" ht="15">
      <c r="B2" s="446" t="str">
        <f>"Arbeitszeitachweis September "&amp;gewJahr</f>
        <v>Arbeitszeitachweis September 2018</v>
      </c>
      <c r="C2" s="447"/>
      <c r="D2" s="447"/>
      <c r="E2" s="447"/>
      <c r="F2" s="447"/>
      <c r="G2" s="446"/>
      <c r="H2" s="446"/>
      <c r="I2" s="446"/>
      <c r="J2" s="667" t="s">
        <v>92</v>
      </c>
      <c r="K2" s="13"/>
      <c r="L2" s="63"/>
      <c r="M2" s="14"/>
      <c r="N2" s="14"/>
    </row>
    <row r="3" spans="2:14" ht="13.5" customHeight="1">
      <c r="B3" s="484" t="s">
        <v>124</v>
      </c>
      <c r="C3" s="456" t="str">
        <f>Stammdaten!$B$6</f>
        <v>Mustermann, Hans</v>
      </c>
      <c r="D3" s="449"/>
      <c r="E3" s="449"/>
      <c r="F3" s="450"/>
      <c r="G3" s="450"/>
      <c r="H3" s="445"/>
      <c r="I3" s="451"/>
      <c r="J3" s="643"/>
      <c r="K3" s="14"/>
      <c r="L3" s="13"/>
      <c r="M3" s="13"/>
      <c r="N3" s="13"/>
    </row>
    <row r="4" spans="2:14" ht="17.25" customHeight="1" hidden="1">
      <c r="B4" s="671"/>
      <c r="C4" s="671"/>
      <c r="D4" s="448"/>
      <c r="E4" s="449"/>
      <c r="F4" s="449"/>
      <c r="G4" s="450"/>
      <c r="H4" s="14"/>
      <c r="I4" s="14"/>
      <c r="J4" s="643"/>
      <c r="K4" s="4"/>
      <c r="L4" s="14"/>
      <c r="M4" s="14"/>
      <c r="N4" s="14"/>
    </row>
    <row r="5" spans="2:12" ht="17.25" customHeight="1" hidden="1">
      <c r="B5" s="4"/>
      <c r="C5" s="66"/>
      <c r="D5" s="4"/>
      <c r="E5" s="4"/>
      <c r="F5" s="4"/>
      <c r="H5" s="4"/>
      <c r="I5" s="4"/>
      <c r="J5" s="643"/>
      <c r="K5" s="5"/>
      <c r="L5" s="4"/>
    </row>
    <row r="6" spans="2:14" ht="17.25" customHeight="1">
      <c r="B6" s="43"/>
      <c r="C6" s="43"/>
      <c r="D6" s="43"/>
      <c r="E6" s="43"/>
      <c r="F6" s="43"/>
      <c r="G6" s="43"/>
      <c r="H6" s="43"/>
      <c r="I6" s="43"/>
      <c r="J6" s="668"/>
      <c r="K6" s="78"/>
      <c r="L6" s="5"/>
      <c r="M6" s="5"/>
      <c r="N6" s="5"/>
    </row>
    <row r="7" spans="1:15" s="210" customFormat="1" ht="23.25" customHeight="1">
      <c r="A7" s="207"/>
      <c r="B7" s="648" t="s">
        <v>38</v>
      </c>
      <c r="C7" s="649"/>
      <c r="D7" s="453" t="s">
        <v>247</v>
      </c>
      <c r="E7" s="454" t="s">
        <v>248</v>
      </c>
      <c r="F7" s="455" t="s">
        <v>249</v>
      </c>
      <c r="G7" s="455" t="s">
        <v>250</v>
      </c>
      <c r="H7" s="177" t="s">
        <v>65</v>
      </c>
      <c r="I7" s="178" t="s">
        <v>39</v>
      </c>
      <c r="J7" s="179" t="s">
        <v>89</v>
      </c>
      <c r="K7" s="209"/>
      <c r="L7" s="213"/>
      <c r="M7" s="213"/>
      <c r="N7" s="213"/>
      <c r="O7" s="207"/>
    </row>
    <row r="8" spans="1:15" s="210" customFormat="1" ht="11.25">
      <c r="A8" s="207"/>
      <c r="B8" s="198">
        <f>DATE(gewJahr,9,1)</f>
        <v>43344</v>
      </c>
      <c r="C8" s="199">
        <f aca="true" t="shared" si="0" ref="C8:C37">WEEKDAY(B8)</f>
        <v>7</v>
      </c>
      <c r="D8" s="200">
        <v>0</v>
      </c>
      <c r="E8" s="200">
        <v>0</v>
      </c>
      <c r="F8" s="268">
        <f aca="true" t="shared" si="1" ref="F8:F37">MAX(IF(D8&lt;=E8,E8-D8,"24:00"-D8+E8)-G8,0)</f>
        <v>0</v>
      </c>
      <c r="G8" s="200"/>
      <c r="H8" s="269">
        <f>IF(F8-I8&gt;0,F8-I8,0)</f>
        <v>0</v>
      </c>
      <c r="I8" s="271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197"/>
      <c r="K8" s="208"/>
      <c r="L8" s="209"/>
      <c r="M8" s="209"/>
      <c r="N8" s="209"/>
      <c r="O8" s="207"/>
    </row>
    <row r="9" spans="1:15" s="210" customFormat="1" ht="11.25">
      <c r="A9" s="207"/>
      <c r="B9" s="198">
        <f aca="true" t="shared" si="2" ref="B9:B37">B8+1</f>
        <v>43345</v>
      </c>
      <c r="C9" s="199">
        <f t="shared" si="0"/>
        <v>1</v>
      </c>
      <c r="D9" s="200">
        <v>0</v>
      </c>
      <c r="E9" s="200">
        <v>0</v>
      </c>
      <c r="F9" s="268">
        <f t="shared" si="1"/>
        <v>0</v>
      </c>
      <c r="G9" s="200"/>
      <c r="H9" s="269">
        <f aca="true" t="shared" si="3" ref="H9:H37">IF(F9-I9&gt;0,F9-I9,0)</f>
        <v>0</v>
      </c>
      <c r="I9" s="271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197"/>
      <c r="K9" s="208"/>
      <c r="L9" s="208"/>
      <c r="M9" s="208"/>
      <c r="N9" s="208"/>
      <c r="O9" s="207"/>
    </row>
    <row r="10" spans="1:15" s="210" customFormat="1" ht="11.25">
      <c r="A10" s="207"/>
      <c r="B10" s="198">
        <f t="shared" si="2"/>
        <v>43346</v>
      </c>
      <c r="C10" s="199">
        <f t="shared" si="0"/>
        <v>2</v>
      </c>
      <c r="D10" s="200">
        <v>0</v>
      </c>
      <c r="E10" s="200">
        <v>0</v>
      </c>
      <c r="F10" s="268">
        <f t="shared" si="1"/>
        <v>0</v>
      </c>
      <c r="G10" s="200"/>
      <c r="H10" s="269">
        <f t="shared" si="3"/>
        <v>0</v>
      </c>
      <c r="I10" s="271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197"/>
      <c r="K10" s="208"/>
      <c r="L10" s="208"/>
      <c r="M10" s="208"/>
      <c r="N10" s="208"/>
      <c r="O10" s="207"/>
    </row>
    <row r="11" spans="1:15" s="210" customFormat="1" ht="11.25">
      <c r="A11" s="207"/>
      <c r="B11" s="198">
        <f t="shared" si="2"/>
        <v>43347</v>
      </c>
      <c r="C11" s="199">
        <f t="shared" si="0"/>
        <v>3</v>
      </c>
      <c r="D11" s="200">
        <v>0</v>
      </c>
      <c r="E11" s="200">
        <v>0</v>
      </c>
      <c r="F11" s="268">
        <f t="shared" si="1"/>
        <v>0</v>
      </c>
      <c r="G11" s="200"/>
      <c r="H11" s="269">
        <f t="shared" si="3"/>
        <v>0</v>
      </c>
      <c r="I11" s="271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197"/>
      <c r="K11" s="208"/>
      <c r="L11" s="208"/>
      <c r="M11" s="208"/>
      <c r="N11" s="208"/>
      <c r="O11" s="207"/>
    </row>
    <row r="12" spans="1:15" s="210" customFormat="1" ht="11.25">
      <c r="A12" s="207"/>
      <c r="B12" s="198">
        <f t="shared" si="2"/>
        <v>43348</v>
      </c>
      <c r="C12" s="199">
        <f t="shared" si="0"/>
        <v>4</v>
      </c>
      <c r="D12" s="200">
        <v>0</v>
      </c>
      <c r="E12" s="200">
        <v>0</v>
      </c>
      <c r="F12" s="268">
        <f t="shared" si="1"/>
        <v>0</v>
      </c>
      <c r="G12" s="200"/>
      <c r="H12" s="269">
        <f t="shared" si="3"/>
        <v>0</v>
      </c>
      <c r="I12" s="271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197"/>
      <c r="K12" s="209"/>
      <c r="L12" s="208"/>
      <c r="M12" s="208"/>
      <c r="N12" s="208"/>
      <c r="O12" s="207"/>
    </row>
    <row r="13" spans="1:15" s="210" customFormat="1" ht="11.25">
      <c r="A13" s="207"/>
      <c r="B13" s="198">
        <f t="shared" si="2"/>
        <v>43349</v>
      </c>
      <c r="C13" s="199">
        <f t="shared" si="0"/>
        <v>5</v>
      </c>
      <c r="D13" s="200">
        <v>0</v>
      </c>
      <c r="E13" s="200">
        <v>0</v>
      </c>
      <c r="F13" s="268">
        <f t="shared" si="1"/>
        <v>0</v>
      </c>
      <c r="G13" s="200"/>
      <c r="H13" s="269">
        <f t="shared" si="3"/>
        <v>0</v>
      </c>
      <c r="I13" s="271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197"/>
      <c r="K13" s="208"/>
      <c r="L13" s="209"/>
      <c r="M13" s="208"/>
      <c r="N13" s="208"/>
      <c r="O13" s="207"/>
    </row>
    <row r="14" spans="1:15" s="210" customFormat="1" ht="11.25">
      <c r="A14" s="207"/>
      <c r="B14" s="198">
        <f t="shared" si="2"/>
        <v>43350</v>
      </c>
      <c r="C14" s="199">
        <f t="shared" si="0"/>
        <v>6</v>
      </c>
      <c r="D14" s="200">
        <v>0</v>
      </c>
      <c r="E14" s="200">
        <v>0</v>
      </c>
      <c r="F14" s="268">
        <f t="shared" si="1"/>
        <v>0</v>
      </c>
      <c r="G14" s="200"/>
      <c r="H14" s="269">
        <f t="shared" si="3"/>
        <v>0</v>
      </c>
      <c r="I14" s="271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197"/>
      <c r="K14" s="208"/>
      <c r="L14" s="208"/>
      <c r="M14" s="208"/>
      <c r="N14" s="208"/>
      <c r="O14" s="207"/>
    </row>
    <row r="15" spans="1:15" s="210" customFormat="1" ht="11.25">
      <c r="A15" s="207"/>
      <c r="B15" s="198">
        <f t="shared" si="2"/>
        <v>43351</v>
      </c>
      <c r="C15" s="199">
        <f t="shared" si="0"/>
        <v>7</v>
      </c>
      <c r="D15" s="200">
        <v>0</v>
      </c>
      <c r="E15" s="200">
        <v>0</v>
      </c>
      <c r="F15" s="268">
        <f t="shared" si="1"/>
        <v>0</v>
      </c>
      <c r="G15" s="200"/>
      <c r="H15" s="269">
        <f t="shared" si="3"/>
        <v>0</v>
      </c>
      <c r="I15" s="271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197"/>
      <c r="K15" s="208"/>
      <c r="L15" s="208"/>
      <c r="M15" s="208"/>
      <c r="N15" s="208"/>
      <c r="O15" s="207"/>
    </row>
    <row r="16" spans="1:15" s="210" customFormat="1" ht="11.25">
      <c r="A16" s="207"/>
      <c r="B16" s="198">
        <f t="shared" si="2"/>
        <v>43352</v>
      </c>
      <c r="C16" s="199">
        <f t="shared" si="0"/>
        <v>1</v>
      </c>
      <c r="D16" s="200">
        <v>0</v>
      </c>
      <c r="E16" s="200">
        <v>0</v>
      </c>
      <c r="F16" s="268">
        <f t="shared" si="1"/>
        <v>0</v>
      </c>
      <c r="G16" s="200"/>
      <c r="H16" s="269">
        <f t="shared" si="3"/>
        <v>0</v>
      </c>
      <c r="I16" s="271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197"/>
      <c r="K16" s="208"/>
      <c r="L16" s="208"/>
      <c r="M16" s="208"/>
      <c r="N16" s="208"/>
      <c r="O16" s="207"/>
    </row>
    <row r="17" spans="1:15" s="210" customFormat="1" ht="11.25">
      <c r="A17" s="207"/>
      <c r="B17" s="198">
        <f t="shared" si="2"/>
        <v>43353</v>
      </c>
      <c r="C17" s="199">
        <f t="shared" si="0"/>
        <v>2</v>
      </c>
      <c r="D17" s="200">
        <v>0</v>
      </c>
      <c r="E17" s="200">
        <v>0</v>
      </c>
      <c r="F17" s="268">
        <f t="shared" si="1"/>
        <v>0</v>
      </c>
      <c r="G17" s="200"/>
      <c r="H17" s="269">
        <f t="shared" si="3"/>
        <v>0</v>
      </c>
      <c r="I17" s="271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197"/>
      <c r="K17" s="208"/>
      <c r="L17" s="208"/>
      <c r="M17" s="208"/>
      <c r="N17" s="208"/>
      <c r="O17" s="207"/>
    </row>
    <row r="18" spans="1:15" s="210" customFormat="1" ht="11.25">
      <c r="A18" s="207"/>
      <c r="B18" s="198">
        <f t="shared" si="2"/>
        <v>43354</v>
      </c>
      <c r="C18" s="199">
        <f t="shared" si="0"/>
        <v>3</v>
      </c>
      <c r="D18" s="200">
        <v>0</v>
      </c>
      <c r="E18" s="200">
        <v>0</v>
      </c>
      <c r="F18" s="268">
        <f t="shared" si="1"/>
        <v>0</v>
      </c>
      <c r="G18" s="200"/>
      <c r="H18" s="269">
        <f t="shared" si="3"/>
        <v>0</v>
      </c>
      <c r="I18" s="271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197"/>
      <c r="K18" s="208"/>
      <c r="L18" s="208"/>
      <c r="M18" s="208"/>
      <c r="N18" s="208"/>
      <c r="O18" s="207"/>
    </row>
    <row r="19" spans="1:15" s="210" customFormat="1" ht="11.25">
      <c r="A19" s="207"/>
      <c r="B19" s="198">
        <f t="shared" si="2"/>
        <v>43355</v>
      </c>
      <c r="C19" s="199">
        <f t="shared" si="0"/>
        <v>4</v>
      </c>
      <c r="D19" s="200">
        <v>0</v>
      </c>
      <c r="E19" s="200">
        <v>0</v>
      </c>
      <c r="F19" s="268">
        <f t="shared" si="1"/>
        <v>0</v>
      </c>
      <c r="G19" s="200"/>
      <c r="H19" s="269">
        <f t="shared" si="3"/>
        <v>0</v>
      </c>
      <c r="I19" s="271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197"/>
      <c r="K19" s="208"/>
      <c r="L19" s="208"/>
      <c r="M19" s="208"/>
      <c r="N19" s="208"/>
      <c r="O19" s="207"/>
    </row>
    <row r="20" spans="1:15" s="210" customFormat="1" ht="11.25">
      <c r="A20" s="207"/>
      <c r="B20" s="198">
        <f t="shared" si="2"/>
        <v>43356</v>
      </c>
      <c r="C20" s="199">
        <f t="shared" si="0"/>
        <v>5</v>
      </c>
      <c r="D20" s="200">
        <v>0</v>
      </c>
      <c r="E20" s="200">
        <v>0</v>
      </c>
      <c r="F20" s="268">
        <f t="shared" si="1"/>
        <v>0</v>
      </c>
      <c r="G20" s="200"/>
      <c r="H20" s="269">
        <f t="shared" si="3"/>
        <v>0</v>
      </c>
      <c r="I20" s="271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197"/>
      <c r="K20" s="208"/>
      <c r="L20" s="208"/>
      <c r="M20" s="208"/>
      <c r="N20" s="208"/>
      <c r="O20" s="207"/>
    </row>
    <row r="21" spans="1:15" s="210" customFormat="1" ht="11.25">
      <c r="A21" s="207"/>
      <c r="B21" s="198">
        <f t="shared" si="2"/>
        <v>43357</v>
      </c>
      <c r="C21" s="199">
        <f t="shared" si="0"/>
        <v>6</v>
      </c>
      <c r="D21" s="200">
        <v>0</v>
      </c>
      <c r="E21" s="200">
        <v>0</v>
      </c>
      <c r="F21" s="268">
        <f t="shared" si="1"/>
        <v>0</v>
      </c>
      <c r="G21" s="200"/>
      <c r="H21" s="269">
        <f t="shared" si="3"/>
        <v>0</v>
      </c>
      <c r="I21" s="271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197"/>
      <c r="K21" s="208"/>
      <c r="L21" s="208"/>
      <c r="M21" s="208"/>
      <c r="N21" s="208"/>
      <c r="O21" s="207"/>
    </row>
    <row r="22" spans="1:15" s="210" customFormat="1" ht="11.25">
      <c r="A22" s="207"/>
      <c r="B22" s="198">
        <f>B21+1</f>
        <v>43358</v>
      </c>
      <c r="C22" s="199">
        <f t="shared" si="0"/>
        <v>7</v>
      </c>
      <c r="D22" s="200">
        <v>0</v>
      </c>
      <c r="E22" s="200">
        <v>0</v>
      </c>
      <c r="F22" s="268">
        <f t="shared" si="1"/>
        <v>0</v>
      </c>
      <c r="G22" s="200"/>
      <c r="H22" s="269">
        <f t="shared" si="3"/>
        <v>0</v>
      </c>
      <c r="I22" s="271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197"/>
      <c r="K22" s="208"/>
      <c r="L22" s="208"/>
      <c r="M22" s="208"/>
      <c r="N22" s="208"/>
      <c r="O22" s="207"/>
    </row>
    <row r="23" spans="1:15" s="210" customFormat="1" ht="11.25">
      <c r="A23" s="207"/>
      <c r="B23" s="198">
        <f t="shared" si="2"/>
        <v>43359</v>
      </c>
      <c r="C23" s="199">
        <f t="shared" si="0"/>
        <v>1</v>
      </c>
      <c r="D23" s="200">
        <v>0</v>
      </c>
      <c r="E23" s="200">
        <v>0</v>
      </c>
      <c r="F23" s="268">
        <f t="shared" si="1"/>
        <v>0</v>
      </c>
      <c r="G23" s="200"/>
      <c r="H23" s="269">
        <f t="shared" si="3"/>
        <v>0</v>
      </c>
      <c r="I23" s="271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197"/>
      <c r="K23" s="208"/>
      <c r="L23" s="208"/>
      <c r="M23" s="208"/>
      <c r="N23" s="208"/>
      <c r="O23" s="207"/>
    </row>
    <row r="24" spans="1:15" s="210" customFormat="1" ht="11.25">
      <c r="A24" s="207"/>
      <c r="B24" s="198">
        <f t="shared" si="2"/>
        <v>43360</v>
      </c>
      <c r="C24" s="199">
        <f t="shared" si="0"/>
        <v>2</v>
      </c>
      <c r="D24" s="200">
        <v>0</v>
      </c>
      <c r="E24" s="200">
        <v>0</v>
      </c>
      <c r="F24" s="268">
        <f t="shared" si="1"/>
        <v>0</v>
      </c>
      <c r="G24" s="200"/>
      <c r="H24" s="269">
        <f t="shared" si="3"/>
        <v>0</v>
      </c>
      <c r="I24" s="271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197"/>
      <c r="K24" s="208"/>
      <c r="L24" s="208"/>
      <c r="M24" s="208"/>
      <c r="N24" s="208"/>
      <c r="O24" s="207"/>
    </row>
    <row r="25" spans="1:15" s="210" customFormat="1" ht="11.25">
      <c r="A25" s="207"/>
      <c r="B25" s="198">
        <f t="shared" si="2"/>
        <v>43361</v>
      </c>
      <c r="C25" s="199">
        <f t="shared" si="0"/>
        <v>3</v>
      </c>
      <c r="D25" s="200">
        <v>0</v>
      </c>
      <c r="E25" s="200">
        <v>0</v>
      </c>
      <c r="F25" s="268">
        <f t="shared" si="1"/>
        <v>0</v>
      </c>
      <c r="G25" s="200"/>
      <c r="H25" s="269">
        <f t="shared" si="3"/>
        <v>0</v>
      </c>
      <c r="I25" s="271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197"/>
      <c r="K25" s="208"/>
      <c r="L25" s="208"/>
      <c r="M25" s="208"/>
      <c r="N25" s="208"/>
      <c r="O25" s="207"/>
    </row>
    <row r="26" spans="1:15" s="210" customFormat="1" ht="11.25">
      <c r="A26" s="207"/>
      <c r="B26" s="198">
        <f t="shared" si="2"/>
        <v>43362</v>
      </c>
      <c r="C26" s="199">
        <f t="shared" si="0"/>
        <v>4</v>
      </c>
      <c r="D26" s="200">
        <v>0</v>
      </c>
      <c r="E26" s="200">
        <v>0</v>
      </c>
      <c r="F26" s="268">
        <f t="shared" si="1"/>
        <v>0</v>
      </c>
      <c r="G26" s="200"/>
      <c r="H26" s="269">
        <f t="shared" si="3"/>
        <v>0</v>
      </c>
      <c r="I26" s="271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197"/>
      <c r="K26" s="208"/>
      <c r="L26" s="208"/>
      <c r="M26" s="208"/>
      <c r="N26" s="208"/>
      <c r="O26" s="207"/>
    </row>
    <row r="27" spans="1:15" s="210" customFormat="1" ht="11.25">
      <c r="A27" s="207"/>
      <c r="B27" s="198">
        <f t="shared" si="2"/>
        <v>43363</v>
      </c>
      <c r="C27" s="199">
        <f t="shared" si="0"/>
        <v>5</v>
      </c>
      <c r="D27" s="200">
        <v>0</v>
      </c>
      <c r="E27" s="200">
        <v>0</v>
      </c>
      <c r="F27" s="268">
        <f t="shared" si="1"/>
        <v>0</v>
      </c>
      <c r="G27" s="200"/>
      <c r="H27" s="269">
        <f t="shared" si="3"/>
        <v>0</v>
      </c>
      <c r="I27" s="271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197"/>
      <c r="K27" s="208"/>
      <c r="L27" s="208"/>
      <c r="M27" s="208"/>
      <c r="N27" s="208"/>
      <c r="O27" s="207"/>
    </row>
    <row r="28" spans="1:15" s="210" customFormat="1" ht="11.25">
      <c r="A28" s="207"/>
      <c r="B28" s="198">
        <f t="shared" si="2"/>
        <v>43364</v>
      </c>
      <c r="C28" s="199">
        <f t="shared" si="0"/>
        <v>6</v>
      </c>
      <c r="D28" s="200">
        <v>0</v>
      </c>
      <c r="E28" s="200">
        <v>0</v>
      </c>
      <c r="F28" s="268">
        <f t="shared" si="1"/>
        <v>0</v>
      </c>
      <c r="G28" s="200"/>
      <c r="H28" s="269">
        <f t="shared" si="3"/>
        <v>0</v>
      </c>
      <c r="I28" s="271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197"/>
      <c r="K28" s="208"/>
      <c r="L28" s="208"/>
      <c r="M28" s="208"/>
      <c r="N28" s="208"/>
      <c r="O28" s="207"/>
    </row>
    <row r="29" spans="1:15" s="210" customFormat="1" ht="11.25">
      <c r="A29" s="207"/>
      <c r="B29" s="198">
        <f t="shared" si="2"/>
        <v>43365</v>
      </c>
      <c r="C29" s="199">
        <f t="shared" si="0"/>
        <v>7</v>
      </c>
      <c r="D29" s="200">
        <v>0</v>
      </c>
      <c r="E29" s="200">
        <v>0</v>
      </c>
      <c r="F29" s="268">
        <f t="shared" si="1"/>
        <v>0</v>
      </c>
      <c r="G29" s="200"/>
      <c r="H29" s="269">
        <f t="shared" si="3"/>
        <v>0</v>
      </c>
      <c r="I29" s="271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197"/>
      <c r="K29" s="208"/>
      <c r="L29" s="208"/>
      <c r="M29" s="208"/>
      <c r="N29" s="208"/>
      <c r="O29" s="207"/>
    </row>
    <row r="30" spans="1:15" s="210" customFormat="1" ht="11.25">
      <c r="A30" s="207"/>
      <c r="B30" s="198">
        <f t="shared" si="2"/>
        <v>43366</v>
      </c>
      <c r="C30" s="199">
        <f t="shared" si="0"/>
        <v>1</v>
      </c>
      <c r="D30" s="200">
        <v>0</v>
      </c>
      <c r="E30" s="200">
        <v>0</v>
      </c>
      <c r="F30" s="268">
        <f t="shared" si="1"/>
        <v>0</v>
      </c>
      <c r="G30" s="200"/>
      <c r="H30" s="269">
        <f t="shared" si="3"/>
        <v>0</v>
      </c>
      <c r="I30" s="271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197"/>
      <c r="K30" s="208"/>
      <c r="L30" s="208"/>
      <c r="M30" s="208"/>
      <c r="N30" s="208"/>
      <c r="O30" s="207"/>
    </row>
    <row r="31" spans="1:15" s="210" customFormat="1" ht="11.25">
      <c r="A31" s="207"/>
      <c r="B31" s="198">
        <f t="shared" si="2"/>
        <v>43367</v>
      </c>
      <c r="C31" s="199">
        <f t="shared" si="0"/>
        <v>2</v>
      </c>
      <c r="D31" s="200">
        <v>0</v>
      </c>
      <c r="E31" s="200">
        <v>0</v>
      </c>
      <c r="F31" s="268">
        <f t="shared" si="1"/>
        <v>0</v>
      </c>
      <c r="G31" s="200"/>
      <c r="H31" s="269">
        <f t="shared" si="3"/>
        <v>0</v>
      </c>
      <c r="I31" s="271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197"/>
      <c r="K31" s="208"/>
      <c r="L31" s="208"/>
      <c r="M31" s="208"/>
      <c r="N31" s="208"/>
      <c r="O31" s="207"/>
    </row>
    <row r="32" spans="1:15" s="210" customFormat="1" ht="11.25">
      <c r="A32" s="207"/>
      <c r="B32" s="198">
        <f t="shared" si="2"/>
        <v>43368</v>
      </c>
      <c r="C32" s="199">
        <f t="shared" si="0"/>
        <v>3</v>
      </c>
      <c r="D32" s="200">
        <v>0</v>
      </c>
      <c r="E32" s="200">
        <v>0</v>
      </c>
      <c r="F32" s="268">
        <f t="shared" si="1"/>
        <v>0</v>
      </c>
      <c r="G32" s="200"/>
      <c r="H32" s="269">
        <f t="shared" si="3"/>
        <v>0</v>
      </c>
      <c r="I32" s="271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197"/>
      <c r="K32" s="208"/>
      <c r="L32" s="208"/>
      <c r="M32" s="208"/>
      <c r="N32" s="208"/>
      <c r="O32" s="207"/>
    </row>
    <row r="33" spans="1:15" s="210" customFormat="1" ht="11.25">
      <c r="A33" s="207"/>
      <c r="B33" s="198">
        <f t="shared" si="2"/>
        <v>43369</v>
      </c>
      <c r="C33" s="199">
        <f t="shared" si="0"/>
        <v>4</v>
      </c>
      <c r="D33" s="200">
        <v>0</v>
      </c>
      <c r="E33" s="200">
        <v>0</v>
      </c>
      <c r="F33" s="268">
        <f t="shared" si="1"/>
        <v>0</v>
      </c>
      <c r="G33" s="200"/>
      <c r="H33" s="269">
        <f t="shared" si="3"/>
        <v>0</v>
      </c>
      <c r="I33" s="271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197"/>
      <c r="K33" s="208"/>
      <c r="L33" s="208"/>
      <c r="M33" s="208"/>
      <c r="N33" s="208"/>
      <c r="O33" s="207"/>
    </row>
    <row r="34" spans="1:15" s="210" customFormat="1" ht="11.25">
      <c r="A34" s="207"/>
      <c r="B34" s="198">
        <f t="shared" si="2"/>
        <v>43370</v>
      </c>
      <c r="C34" s="199">
        <f t="shared" si="0"/>
        <v>5</v>
      </c>
      <c r="D34" s="200">
        <v>0</v>
      </c>
      <c r="E34" s="200">
        <v>0</v>
      </c>
      <c r="F34" s="268">
        <f t="shared" si="1"/>
        <v>0</v>
      </c>
      <c r="G34" s="200"/>
      <c r="H34" s="269">
        <f t="shared" si="3"/>
        <v>0</v>
      </c>
      <c r="I34" s="271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197"/>
      <c r="K34" s="208"/>
      <c r="L34" s="208"/>
      <c r="M34" s="208"/>
      <c r="N34" s="208"/>
      <c r="O34" s="207"/>
    </row>
    <row r="35" spans="1:15" s="210" customFormat="1" ht="11.25">
      <c r="A35" s="207"/>
      <c r="B35" s="198">
        <f t="shared" si="2"/>
        <v>43371</v>
      </c>
      <c r="C35" s="199">
        <f t="shared" si="0"/>
        <v>6</v>
      </c>
      <c r="D35" s="200">
        <v>0</v>
      </c>
      <c r="E35" s="200">
        <v>0</v>
      </c>
      <c r="F35" s="268">
        <f t="shared" si="1"/>
        <v>0</v>
      </c>
      <c r="G35" s="200"/>
      <c r="H35" s="269">
        <f t="shared" si="3"/>
        <v>0</v>
      </c>
      <c r="I35" s="271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197"/>
      <c r="K35" s="208"/>
      <c r="L35" s="208"/>
      <c r="M35" s="208"/>
      <c r="N35" s="208"/>
      <c r="O35" s="207"/>
    </row>
    <row r="36" spans="1:15" s="210" customFormat="1" ht="11.25">
      <c r="A36" s="207"/>
      <c r="B36" s="198">
        <f t="shared" si="2"/>
        <v>43372</v>
      </c>
      <c r="C36" s="199">
        <f t="shared" si="0"/>
        <v>7</v>
      </c>
      <c r="D36" s="200">
        <v>0</v>
      </c>
      <c r="E36" s="200">
        <v>0</v>
      </c>
      <c r="F36" s="268">
        <f t="shared" si="1"/>
        <v>0</v>
      </c>
      <c r="G36" s="200"/>
      <c r="H36" s="269">
        <f t="shared" si="3"/>
        <v>0</v>
      </c>
      <c r="I36" s="271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197"/>
      <c r="K36" s="208"/>
      <c r="L36" s="208"/>
      <c r="M36" s="208"/>
      <c r="N36" s="208"/>
      <c r="O36" s="207"/>
    </row>
    <row r="37" spans="1:15" s="210" customFormat="1" ht="11.25">
      <c r="A37" s="207"/>
      <c r="B37" s="198">
        <f t="shared" si="2"/>
        <v>43373</v>
      </c>
      <c r="C37" s="199">
        <f t="shared" si="0"/>
        <v>1</v>
      </c>
      <c r="D37" s="200">
        <v>0</v>
      </c>
      <c r="E37" s="200">
        <v>0</v>
      </c>
      <c r="F37" s="268">
        <f t="shared" si="1"/>
        <v>0</v>
      </c>
      <c r="G37" s="200"/>
      <c r="H37" s="269">
        <f t="shared" si="3"/>
        <v>0</v>
      </c>
      <c r="I37" s="271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197"/>
      <c r="K37" s="208"/>
      <c r="L37" s="208"/>
      <c r="M37" s="208"/>
      <c r="N37" s="208"/>
      <c r="O37" s="207"/>
    </row>
    <row r="38" spans="1:15" s="210" customFormat="1" ht="11.25" customHeight="1">
      <c r="A38" s="207"/>
      <c r="B38" s="198"/>
      <c r="C38" s="199"/>
      <c r="D38" s="200">
        <v>0</v>
      </c>
      <c r="E38" s="200">
        <v>0</v>
      </c>
      <c r="F38" s="201"/>
      <c r="G38" s="200"/>
      <c r="H38" s="203"/>
      <c r="I38" s="196"/>
      <c r="J38" s="244"/>
      <c r="K38" s="208"/>
      <c r="L38" s="208"/>
      <c r="M38" s="208"/>
      <c r="N38" s="208"/>
      <c r="O38" s="207"/>
    </row>
    <row r="39" spans="1:15" s="210" customFormat="1" ht="11.25" customHeight="1">
      <c r="A39" s="211"/>
      <c r="B39" s="188"/>
      <c r="C39" s="188"/>
      <c r="D39" s="577" t="s">
        <v>88</v>
      </c>
      <c r="E39" s="578"/>
      <c r="F39" s="270">
        <f>SUM(F7:F38)</f>
        <v>0</v>
      </c>
      <c r="G39" s="281"/>
      <c r="H39" s="270">
        <f>SUM(H8:H38)</f>
        <v>0</v>
      </c>
      <c r="I39" s="272">
        <f>SUM(I8:I38)</f>
        <v>0</v>
      </c>
      <c r="J39" s="244"/>
      <c r="K39" s="208"/>
      <c r="L39" s="208"/>
      <c r="M39" s="208"/>
      <c r="N39" s="208"/>
      <c r="O39" s="207"/>
    </row>
    <row r="40" spans="1:15" s="210" customFormat="1" ht="11.25" customHeight="1">
      <c r="A40" s="211"/>
      <c r="B40" s="188"/>
      <c r="C40" s="657" t="s">
        <v>318</v>
      </c>
      <c r="D40" s="657"/>
      <c r="E40" s="658"/>
      <c r="F40" s="576">
        <f>SUM(H39,PRODUCT(SUM(J40,J42,J32),Stammdaten!H28))</f>
        <v>0</v>
      </c>
      <c r="G40" s="664" t="s">
        <v>90</v>
      </c>
      <c r="H40" s="665"/>
      <c r="I40" s="666"/>
      <c r="J40" s="204">
        <f>COUNTIF(J8:J38,"u")</f>
        <v>0</v>
      </c>
      <c r="K40" s="208"/>
      <c r="L40" s="208"/>
      <c r="M40" s="208"/>
      <c r="N40" s="208"/>
      <c r="O40" s="207"/>
    </row>
    <row r="41" spans="1:15" s="210" customFormat="1" ht="11.25">
      <c r="A41" s="211"/>
      <c r="B41" s="188"/>
      <c r="C41" s="659" t="s">
        <v>117</v>
      </c>
      <c r="D41" s="659"/>
      <c r="E41" s="660"/>
      <c r="F41" s="282">
        <v>0</v>
      </c>
      <c r="G41" s="650" t="s">
        <v>115</v>
      </c>
      <c r="H41" s="651"/>
      <c r="I41" s="652"/>
      <c r="J41" s="205">
        <f>Aug!J41-J40</f>
        <v>25</v>
      </c>
      <c r="K41" s="208"/>
      <c r="L41" s="208"/>
      <c r="M41" s="208"/>
      <c r="N41" s="208"/>
      <c r="O41" s="207"/>
    </row>
    <row r="42" spans="1:15" s="210" customFormat="1" ht="11.25">
      <c r="A42" s="211"/>
      <c r="B42" s="188"/>
      <c r="C42" s="615" t="s">
        <v>121</v>
      </c>
      <c r="D42" s="615"/>
      <c r="E42" s="661"/>
      <c r="F42" s="283">
        <v>0</v>
      </c>
      <c r="G42" s="664" t="s">
        <v>91</v>
      </c>
      <c r="H42" s="665"/>
      <c r="I42" s="666"/>
      <c r="J42" s="206">
        <f>COUNTIF(J8:J38,"k")</f>
        <v>0</v>
      </c>
      <c r="K42" s="193"/>
      <c r="L42" s="212"/>
      <c r="M42" s="197">
        <f>COUNTIF(M8:M38,"k")</f>
        <v>0</v>
      </c>
      <c r="N42" s="208"/>
      <c r="O42" s="207"/>
    </row>
    <row r="43" spans="1:15" s="210" customFormat="1" ht="11.25">
      <c r="A43" s="211"/>
      <c r="B43" s="188"/>
      <c r="C43" s="662" t="s">
        <v>122</v>
      </c>
      <c r="D43" s="662"/>
      <c r="E43" s="663"/>
      <c r="F43" s="284">
        <v>0</v>
      </c>
      <c r="G43" s="664" t="s">
        <v>116</v>
      </c>
      <c r="H43" s="640"/>
      <c r="I43" s="640"/>
      <c r="J43" s="197">
        <f>COUNTIF(J8:J38,"nu")</f>
        <v>0</v>
      </c>
      <c r="K43" s="208"/>
      <c r="L43" s="208"/>
      <c r="M43" s="208"/>
      <c r="N43" s="208"/>
      <c r="O43" s="207"/>
    </row>
    <row r="44" spans="1:15" s="210" customFormat="1" ht="12.75">
      <c r="A44" s="211"/>
      <c r="B44" s="188"/>
      <c r="C44" s="615" t="str">
        <f>Stammdaten!$F$23</f>
        <v>Sonderschicht I</v>
      </c>
      <c r="D44" s="615"/>
      <c r="E44" s="661"/>
      <c r="F44" s="283">
        <v>0</v>
      </c>
      <c r="H44" s="81"/>
      <c r="I44" s="5"/>
      <c r="J44" s="5"/>
      <c r="K44" s="208"/>
      <c r="L44" s="208"/>
      <c r="M44" s="208"/>
      <c r="N44" s="208"/>
      <c r="O44" s="207"/>
    </row>
    <row r="45" spans="1:15" s="210" customFormat="1" ht="11.25">
      <c r="A45" s="211"/>
      <c r="B45" s="188"/>
      <c r="C45" s="615" t="str">
        <f>Stammdaten!$G$24</f>
        <v>Sonderschicht II</v>
      </c>
      <c r="D45" s="615"/>
      <c r="E45" s="661"/>
      <c r="F45" s="283">
        <v>0</v>
      </c>
      <c r="G45" s="193"/>
      <c r="H45" s="485"/>
      <c r="I45" s="492"/>
      <c r="J45" s="211"/>
      <c r="K45" s="208"/>
      <c r="L45" s="208"/>
      <c r="M45" s="208"/>
      <c r="N45" s="208"/>
      <c r="O45" s="207"/>
    </row>
    <row r="46" spans="1:14" ht="11.25" customHeight="1">
      <c r="A46" s="165"/>
      <c r="B46" s="182"/>
      <c r="C46" s="653" t="s">
        <v>183</v>
      </c>
      <c r="D46" s="653"/>
      <c r="E46" s="654"/>
      <c r="F46" s="274">
        <f>$I$39</f>
        <v>0</v>
      </c>
      <c r="G46" s="183"/>
      <c r="H46" s="81"/>
      <c r="I46" s="5"/>
      <c r="J46" s="5"/>
      <c r="K46" s="77"/>
      <c r="L46" s="65"/>
      <c r="M46" s="65"/>
      <c r="N46" s="65"/>
    </row>
    <row r="47" spans="2:12" ht="12.75">
      <c r="B47" s="182"/>
      <c r="C47" s="655" t="s">
        <v>33</v>
      </c>
      <c r="D47" s="655"/>
      <c r="E47" s="656"/>
      <c r="F47" s="564">
        <f>Arbeitszeitübersicht!D8/24</f>
        <v>0.4791666666666667</v>
      </c>
      <c r="G47" s="222"/>
      <c r="H47" s="81"/>
      <c r="I47" s="5"/>
      <c r="J47" s="5"/>
      <c r="K47" s="5"/>
      <c r="L47" s="4"/>
    </row>
    <row r="48" spans="2:14" ht="12.75">
      <c r="B48" s="4"/>
      <c r="C48" s="4"/>
      <c r="D48" s="4"/>
      <c r="E48" s="4"/>
      <c r="F48" s="4"/>
      <c r="H48" s="4"/>
      <c r="I48" s="102"/>
      <c r="J48" s="11"/>
      <c r="K48" s="11"/>
      <c r="L48" s="5"/>
      <c r="N48" s="101"/>
    </row>
    <row r="49" spans="2:12" ht="12.75">
      <c r="B49" s="5"/>
      <c r="C49" s="665"/>
      <c r="D49" s="665"/>
      <c r="E49" s="459" t="s">
        <v>251</v>
      </c>
      <c r="F49" s="460"/>
      <c r="G49" s="457"/>
      <c r="H49" s="458"/>
      <c r="I49" s="457"/>
      <c r="J49" s="457"/>
      <c r="K49" s="5"/>
      <c r="L49" s="4"/>
    </row>
    <row r="50" spans="2:12" ht="12.75">
      <c r="B50" s="5"/>
      <c r="C50" s="193"/>
      <c r="D50" s="193"/>
      <c r="E50" s="459"/>
      <c r="F50" s="459"/>
      <c r="G50" s="461"/>
      <c r="H50" s="65"/>
      <c r="I50" s="461"/>
      <c r="J50" s="461"/>
      <c r="K50" s="5"/>
      <c r="L50" s="4"/>
    </row>
    <row r="51" spans="2:13" ht="12.75">
      <c r="B51" s="4"/>
      <c r="C51" s="4"/>
      <c r="D51" s="5"/>
      <c r="E51" s="13"/>
      <c r="F51" s="669"/>
      <c r="G51" s="670"/>
      <c r="H51" s="670"/>
      <c r="I51" s="100"/>
      <c r="J51" s="100"/>
      <c r="K51" s="5"/>
      <c r="L51" s="5"/>
      <c r="M51" s="101"/>
    </row>
    <row r="52" spans="2:14" ht="12.75">
      <c r="B52" s="4"/>
      <c r="C52" s="4"/>
      <c r="D52" s="4"/>
      <c r="E52" s="5"/>
      <c r="F52" s="669"/>
      <c r="G52" s="670"/>
      <c r="H52" s="670"/>
      <c r="I52" s="81"/>
      <c r="J52" s="5"/>
      <c r="K52" s="5"/>
      <c r="L52" s="5"/>
      <c r="M52" s="101"/>
      <c r="N52" s="101"/>
    </row>
    <row r="53" spans="2:14" ht="12.75">
      <c r="B53" s="4"/>
      <c r="C53" s="4"/>
      <c r="D53" s="4"/>
      <c r="E53" s="4"/>
      <c r="F53" s="4"/>
      <c r="H53" s="4"/>
      <c r="I53" s="102"/>
      <c r="J53" s="11"/>
      <c r="K53" s="11"/>
      <c r="L53" s="5"/>
      <c r="N53" s="101"/>
    </row>
    <row r="54" spans="2:12" ht="0.75" customHeight="1">
      <c r="B54" s="4"/>
      <c r="C54" s="4"/>
      <c r="D54" s="4"/>
      <c r="E54" s="4"/>
      <c r="F54" s="4"/>
      <c r="H54" s="102"/>
      <c r="I54" s="11"/>
      <c r="J54" s="11"/>
      <c r="K54" s="5"/>
      <c r="L54" s="4"/>
    </row>
    <row r="55" spans="2:12" ht="12.75" customHeight="1" hidden="1">
      <c r="B55" s="4"/>
      <c r="C55" s="4"/>
      <c r="D55" s="4"/>
      <c r="E55" s="5"/>
      <c r="F55" s="5"/>
      <c r="G55" s="5"/>
      <c r="H55" s="102"/>
      <c r="I55" s="11"/>
      <c r="J55" s="5"/>
      <c r="K55" s="5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5"/>
      <c r="D57" s="5"/>
      <c r="E57" s="11"/>
      <c r="F57" s="13"/>
      <c r="G57" s="13"/>
      <c r="H57" s="81"/>
      <c r="I57" s="4"/>
      <c r="J57" s="4"/>
      <c r="K57" s="4"/>
      <c r="L57" s="4"/>
    </row>
    <row r="58" spans="2:12" ht="12.75" hidden="1">
      <c r="B58" s="4"/>
      <c r="C58" s="5"/>
      <c r="D58" s="5"/>
      <c r="E58" s="5"/>
      <c r="F58" s="5"/>
      <c r="G58" s="5"/>
      <c r="H58" s="5"/>
      <c r="I58" s="5"/>
      <c r="J58" s="5"/>
      <c r="K58" s="4"/>
      <c r="L58" s="4"/>
    </row>
    <row r="59" spans="2:12" ht="12.75" hidden="1">
      <c r="B59" s="4"/>
      <c r="C59" s="4"/>
      <c r="D59" s="4"/>
      <c r="E59" s="4"/>
      <c r="F59" s="4"/>
      <c r="H59" s="4"/>
      <c r="I59" s="5"/>
      <c r="J59" s="5"/>
      <c r="K59" s="4"/>
      <c r="L59" s="4"/>
    </row>
    <row r="60" spans="2:12" ht="15.75" customHeight="1" hidden="1">
      <c r="B60" s="4"/>
      <c r="C60" s="4"/>
      <c r="D60" s="4"/>
      <c r="E60" s="4"/>
      <c r="F60" s="4"/>
      <c r="H60" s="4"/>
      <c r="I60" s="4"/>
      <c r="J60" s="4"/>
      <c r="L60" s="4"/>
    </row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</sheetData>
  <sheetProtection/>
  <mergeCells count="18">
    <mergeCell ref="C46:E46"/>
    <mergeCell ref="G43:I43"/>
    <mergeCell ref="F51:H51"/>
    <mergeCell ref="F52:H52"/>
    <mergeCell ref="C49:D49"/>
    <mergeCell ref="C47:E47"/>
    <mergeCell ref="G42:I42"/>
    <mergeCell ref="C42:E42"/>
    <mergeCell ref="C43:E43"/>
    <mergeCell ref="C44:E44"/>
    <mergeCell ref="C45:E45"/>
    <mergeCell ref="B7:C7"/>
    <mergeCell ref="B4:C4"/>
    <mergeCell ref="J2:J6"/>
    <mergeCell ref="G41:I41"/>
    <mergeCell ref="C40:E40"/>
    <mergeCell ref="G40:I40"/>
    <mergeCell ref="C41:E41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8:B38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C8:C38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D8:H38">
    <cfRule type="expression" priority="7" dxfId="1" stopIfTrue="1">
      <formula>WEEKDAY($B8)=7</formula>
    </cfRule>
    <cfRule type="expression" priority="8" dxfId="0" stopIfTrue="1">
      <formula>WEEKDAY($B8)=1</formula>
    </cfRule>
  </conditionalFormatting>
  <dataValidations count="1">
    <dataValidation type="list" allowBlank="1" showInputMessage="1" showErrorMessage="1" sqref="J8:J37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7"/>
  <dimension ref="A1:O60"/>
  <sheetViews>
    <sheetView defaultGridColor="0" zoomScalePageLayoutView="0" colorId="22" workbookViewId="0" topLeftCell="A1">
      <selection activeCell="F40" sqref="F40"/>
    </sheetView>
  </sheetViews>
  <sheetFormatPr defaultColWidth="0" defaultRowHeight="15.75" customHeight="1" zeroHeight="1"/>
  <cols>
    <col min="1" max="1" width="3.57421875" style="4" customWidth="1"/>
    <col min="2" max="2" width="7.28125" style="0" customWidth="1"/>
    <col min="3" max="3" width="3.421875" style="0" customWidth="1"/>
    <col min="4" max="6" width="7.57421875" style="0" customWidth="1"/>
    <col min="7" max="7" width="7.5742187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3"/>
      <c r="L1" s="14"/>
      <c r="M1" s="14"/>
      <c r="N1" s="14"/>
    </row>
    <row r="2" spans="2:14" ht="15">
      <c r="B2" s="446" t="str">
        <f>"Arbeitszeitachweis Oktober "&amp;gewJahr</f>
        <v>Arbeitszeitachweis Oktober 2018</v>
      </c>
      <c r="C2" s="447"/>
      <c r="D2" s="447"/>
      <c r="E2" s="447"/>
      <c r="F2" s="447"/>
      <c r="G2" s="446"/>
      <c r="H2" s="446"/>
      <c r="I2" s="446"/>
      <c r="J2" s="667" t="s">
        <v>92</v>
      </c>
      <c r="K2" s="13"/>
      <c r="L2" s="63"/>
      <c r="M2" s="14"/>
      <c r="N2" s="14"/>
    </row>
    <row r="3" spans="2:14" ht="14.25" customHeight="1">
      <c r="B3" s="484" t="s">
        <v>124</v>
      </c>
      <c r="C3" s="456" t="str">
        <f>Stammdaten!$B$6</f>
        <v>Mustermann, Hans</v>
      </c>
      <c r="D3" s="449"/>
      <c r="E3" s="449"/>
      <c r="F3" s="450"/>
      <c r="G3" s="450"/>
      <c r="H3" s="445"/>
      <c r="I3" s="451"/>
      <c r="J3" s="643"/>
      <c r="K3" s="14"/>
      <c r="L3" s="13"/>
      <c r="M3" s="13"/>
      <c r="N3" s="13"/>
    </row>
    <row r="4" spans="2:14" ht="18" customHeight="1" hidden="1">
      <c r="B4" s="671"/>
      <c r="C4" s="671"/>
      <c r="D4" s="448"/>
      <c r="E4" s="449"/>
      <c r="F4" s="449"/>
      <c r="G4" s="450"/>
      <c r="H4" s="14"/>
      <c r="I4" s="14"/>
      <c r="J4" s="643"/>
      <c r="K4" s="4"/>
      <c r="L4" s="14"/>
      <c r="M4" s="14"/>
      <c r="N4" s="14"/>
    </row>
    <row r="5" spans="2:12" ht="18" customHeight="1" hidden="1">
      <c r="B5" s="4"/>
      <c r="C5" s="66">
        <f>IF(Stammdaten!M21="x",Stammdaten!J21,0)</f>
        <v>0</v>
      </c>
      <c r="D5" s="4"/>
      <c r="E5" s="4"/>
      <c r="F5" s="4"/>
      <c r="H5" s="4"/>
      <c r="I5" s="4"/>
      <c r="J5" s="643"/>
      <c r="K5" s="5"/>
      <c r="L5" s="4"/>
    </row>
    <row r="6" spans="2:14" ht="16.5" customHeight="1">
      <c r="B6" s="43"/>
      <c r="C6" s="43"/>
      <c r="D6" s="43"/>
      <c r="E6" s="43"/>
      <c r="F6" s="43"/>
      <c r="G6" s="43"/>
      <c r="H6" s="43"/>
      <c r="I6" s="43"/>
      <c r="J6" s="668"/>
      <c r="K6" s="78"/>
      <c r="L6" s="5"/>
      <c r="M6" s="5"/>
      <c r="N6" s="5"/>
    </row>
    <row r="7" spans="1:15" s="210" customFormat="1" ht="24" customHeight="1">
      <c r="A7" s="207"/>
      <c r="B7" s="648" t="s">
        <v>38</v>
      </c>
      <c r="C7" s="649"/>
      <c r="D7" s="453" t="s">
        <v>247</v>
      </c>
      <c r="E7" s="454" t="s">
        <v>248</v>
      </c>
      <c r="F7" s="455" t="s">
        <v>249</v>
      </c>
      <c r="G7" s="455" t="s">
        <v>250</v>
      </c>
      <c r="H7" s="177" t="s">
        <v>65</v>
      </c>
      <c r="I7" s="178" t="s">
        <v>39</v>
      </c>
      <c r="J7" s="179" t="s">
        <v>89</v>
      </c>
      <c r="K7" s="209"/>
      <c r="L7" s="213"/>
      <c r="M7" s="213"/>
      <c r="N7" s="213"/>
      <c r="O7" s="207"/>
    </row>
    <row r="8" spans="1:15" s="210" customFormat="1" ht="11.25">
      <c r="A8" s="207"/>
      <c r="B8" s="198">
        <f>DATE(gewJahr,10,1)</f>
        <v>43374</v>
      </c>
      <c r="C8" s="199">
        <f aca="true" t="shared" si="0" ref="C8:C38">WEEKDAY(B8)</f>
        <v>2</v>
      </c>
      <c r="D8" s="200">
        <v>0</v>
      </c>
      <c r="E8" s="200">
        <v>0</v>
      </c>
      <c r="F8" s="268">
        <f aca="true" t="shared" si="1" ref="F8:F38">MAX(IF(D8&lt;=E8,E8-D8,"24:00"-D8+E8)-G8,0)</f>
        <v>0</v>
      </c>
      <c r="G8" s="200"/>
      <c r="H8" s="269">
        <f>IF(F8-I8&gt;0,F8-I8,0)</f>
        <v>0</v>
      </c>
      <c r="I8" s="271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197"/>
      <c r="K8" s="208"/>
      <c r="L8" s="209"/>
      <c r="M8" s="209"/>
      <c r="N8" s="209"/>
      <c r="O8" s="207"/>
    </row>
    <row r="9" spans="1:15" s="210" customFormat="1" ht="11.25">
      <c r="A9" s="207"/>
      <c r="B9" s="198">
        <f aca="true" t="shared" si="2" ref="B9:B38">B8+1</f>
        <v>43375</v>
      </c>
      <c r="C9" s="199">
        <f t="shared" si="0"/>
        <v>3</v>
      </c>
      <c r="D9" s="200">
        <v>0</v>
      </c>
      <c r="E9" s="200">
        <v>0</v>
      </c>
      <c r="F9" s="268">
        <f t="shared" si="1"/>
        <v>0</v>
      </c>
      <c r="G9" s="200"/>
      <c r="H9" s="269">
        <f>IF(F9-I9&gt;0,F9-I9,0)</f>
        <v>0</v>
      </c>
      <c r="I9" s="271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197"/>
      <c r="K9" s="208"/>
      <c r="L9" s="208"/>
      <c r="M9" s="208"/>
      <c r="N9" s="208"/>
      <c r="O9" s="207"/>
    </row>
    <row r="10" spans="1:15" s="210" customFormat="1" ht="11.25">
      <c r="A10" s="207"/>
      <c r="B10" s="226">
        <f t="shared" si="2"/>
        <v>43376</v>
      </c>
      <c r="C10" s="220">
        <f t="shared" si="0"/>
        <v>4</v>
      </c>
      <c r="D10" s="221">
        <v>0</v>
      </c>
      <c r="E10" s="221">
        <v>0</v>
      </c>
      <c r="F10" s="267">
        <f t="shared" si="1"/>
        <v>0</v>
      </c>
      <c r="G10" s="221"/>
      <c r="H10" s="273">
        <f>F10-I10</f>
        <v>0</v>
      </c>
      <c r="I10" s="271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197"/>
      <c r="K10" s="208"/>
      <c r="L10" s="208"/>
      <c r="M10" s="208"/>
      <c r="N10" s="208"/>
      <c r="O10" s="207"/>
    </row>
    <row r="11" spans="1:15" s="210" customFormat="1" ht="11.25">
      <c r="A11" s="207"/>
      <c r="B11" s="198">
        <f t="shared" si="2"/>
        <v>43377</v>
      </c>
      <c r="C11" s="199">
        <f t="shared" si="0"/>
        <v>5</v>
      </c>
      <c r="D11" s="200">
        <v>0</v>
      </c>
      <c r="E11" s="200">
        <v>0</v>
      </c>
      <c r="F11" s="268">
        <f t="shared" si="1"/>
        <v>0</v>
      </c>
      <c r="G11" s="200"/>
      <c r="H11" s="269">
        <f aca="true" t="shared" si="3" ref="H11:H38">IF(F11-I11&gt;0,F11-I11,0)</f>
        <v>0</v>
      </c>
      <c r="I11" s="271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197"/>
      <c r="K11" s="208"/>
      <c r="L11" s="208"/>
      <c r="M11" s="208"/>
      <c r="N11" s="208"/>
      <c r="O11" s="207"/>
    </row>
    <row r="12" spans="1:15" s="210" customFormat="1" ht="11.25">
      <c r="A12" s="207"/>
      <c r="B12" s="198">
        <f t="shared" si="2"/>
        <v>43378</v>
      </c>
      <c r="C12" s="199">
        <f t="shared" si="0"/>
        <v>6</v>
      </c>
      <c r="D12" s="200">
        <v>0</v>
      </c>
      <c r="E12" s="200">
        <v>0</v>
      </c>
      <c r="F12" s="268">
        <f t="shared" si="1"/>
        <v>0</v>
      </c>
      <c r="G12" s="200"/>
      <c r="H12" s="269">
        <f t="shared" si="3"/>
        <v>0</v>
      </c>
      <c r="I12" s="271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197"/>
      <c r="K12" s="209"/>
      <c r="L12" s="208"/>
      <c r="M12" s="208"/>
      <c r="N12" s="208"/>
      <c r="O12" s="207"/>
    </row>
    <row r="13" spans="1:15" s="210" customFormat="1" ht="11.25">
      <c r="A13" s="207"/>
      <c r="B13" s="198">
        <f t="shared" si="2"/>
        <v>43379</v>
      </c>
      <c r="C13" s="199">
        <f t="shared" si="0"/>
        <v>7</v>
      </c>
      <c r="D13" s="200">
        <v>0</v>
      </c>
      <c r="E13" s="200">
        <v>0</v>
      </c>
      <c r="F13" s="268">
        <f t="shared" si="1"/>
        <v>0</v>
      </c>
      <c r="G13" s="200"/>
      <c r="H13" s="269">
        <f t="shared" si="3"/>
        <v>0</v>
      </c>
      <c r="I13" s="271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197"/>
      <c r="K13" s="208"/>
      <c r="L13" s="209"/>
      <c r="M13" s="208"/>
      <c r="N13" s="208"/>
      <c r="O13" s="207"/>
    </row>
    <row r="14" spans="1:15" s="210" customFormat="1" ht="11.25">
      <c r="A14" s="207"/>
      <c r="B14" s="198">
        <f t="shared" si="2"/>
        <v>43380</v>
      </c>
      <c r="C14" s="199">
        <f t="shared" si="0"/>
        <v>1</v>
      </c>
      <c r="D14" s="200">
        <v>0</v>
      </c>
      <c r="E14" s="200">
        <v>0</v>
      </c>
      <c r="F14" s="268">
        <f t="shared" si="1"/>
        <v>0</v>
      </c>
      <c r="G14" s="200"/>
      <c r="H14" s="269">
        <f t="shared" si="3"/>
        <v>0</v>
      </c>
      <c r="I14" s="271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197"/>
      <c r="K14" s="208"/>
      <c r="L14" s="208"/>
      <c r="M14" s="208"/>
      <c r="N14" s="208"/>
      <c r="O14" s="207"/>
    </row>
    <row r="15" spans="1:15" s="210" customFormat="1" ht="11.25">
      <c r="A15" s="207"/>
      <c r="B15" s="198">
        <f t="shared" si="2"/>
        <v>43381</v>
      </c>
      <c r="C15" s="199">
        <f t="shared" si="0"/>
        <v>2</v>
      </c>
      <c r="D15" s="200">
        <v>0</v>
      </c>
      <c r="E15" s="200">
        <v>0</v>
      </c>
      <c r="F15" s="268">
        <f t="shared" si="1"/>
        <v>0</v>
      </c>
      <c r="G15" s="200"/>
      <c r="H15" s="269">
        <f t="shared" si="3"/>
        <v>0</v>
      </c>
      <c r="I15" s="271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197"/>
      <c r="K15" s="208"/>
      <c r="L15" s="208"/>
      <c r="M15" s="208"/>
      <c r="N15" s="208"/>
      <c r="O15" s="207"/>
    </row>
    <row r="16" spans="1:15" s="210" customFormat="1" ht="11.25">
      <c r="A16" s="207"/>
      <c r="B16" s="198">
        <f t="shared" si="2"/>
        <v>43382</v>
      </c>
      <c r="C16" s="199">
        <f t="shared" si="0"/>
        <v>3</v>
      </c>
      <c r="D16" s="200">
        <v>0</v>
      </c>
      <c r="E16" s="200">
        <v>0</v>
      </c>
      <c r="F16" s="268">
        <f t="shared" si="1"/>
        <v>0</v>
      </c>
      <c r="G16" s="200"/>
      <c r="H16" s="269">
        <f t="shared" si="3"/>
        <v>0</v>
      </c>
      <c r="I16" s="271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197"/>
      <c r="K16" s="208"/>
      <c r="L16" s="208"/>
      <c r="M16" s="208"/>
      <c r="N16" s="208"/>
      <c r="O16" s="207"/>
    </row>
    <row r="17" spans="1:15" s="210" customFormat="1" ht="11.25">
      <c r="A17" s="207"/>
      <c r="B17" s="198">
        <f t="shared" si="2"/>
        <v>43383</v>
      </c>
      <c r="C17" s="199">
        <f t="shared" si="0"/>
        <v>4</v>
      </c>
      <c r="D17" s="200">
        <v>0</v>
      </c>
      <c r="E17" s="200">
        <v>0</v>
      </c>
      <c r="F17" s="268">
        <f t="shared" si="1"/>
        <v>0</v>
      </c>
      <c r="G17" s="200"/>
      <c r="H17" s="269">
        <f t="shared" si="3"/>
        <v>0</v>
      </c>
      <c r="I17" s="271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197"/>
      <c r="K17" s="208"/>
      <c r="L17" s="208"/>
      <c r="M17" s="208"/>
      <c r="N17" s="208"/>
      <c r="O17" s="207"/>
    </row>
    <row r="18" spans="1:15" s="210" customFormat="1" ht="11.25">
      <c r="A18" s="207"/>
      <c r="B18" s="198">
        <f t="shared" si="2"/>
        <v>43384</v>
      </c>
      <c r="C18" s="199">
        <f t="shared" si="0"/>
        <v>5</v>
      </c>
      <c r="D18" s="200">
        <v>0</v>
      </c>
      <c r="E18" s="200">
        <v>0</v>
      </c>
      <c r="F18" s="268">
        <f t="shared" si="1"/>
        <v>0</v>
      </c>
      <c r="G18" s="200"/>
      <c r="H18" s="269">
        <f t="shared" si="3"/>
        <v>0</v>
      </c>
      <c r="I18" s="271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197"/>
      <c r="K18" s="208"/>
      <c r="L18" s="208"/>
      <c r="M18" s="208"/>
      <c r="N18" s="208"/>
      <c r="O18" s="207"/>
    </row>
    <row r="19" spans="1:15" s="210" customFormat="1" ht="11.25">
      <c r="A19" s="207"/>
      <c r="B19" s="198">
        <f t="shared" si="2"/>
        <v>43385</v>
      </c>
      <c r="C19" s="199">
        <f t="shared" si="0"/>
        <v>6</v>
      </c>
      <c r="D19" s="200">
        <v>0</v>
      </c>
      <c r="E19" s="200">
        <v>0</v>
      </c>
      <c r="F19" s="268">
        <f t="shared" si="1"/>
        <v>0</v>
      </c>
      <c r="G19" s="200"/>
      <c r="H19" s="269">
        <f t="shared" si="3"/>
        <v>0</v>
      </c>
      <c r="I19" s="271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197"/>
      <c r="K19" s="208"/>
      <c r="L19" s="208"/>
      <c r="M19" s="208"/>
      <c r="N19" s="208"/>
      <c r="O19" s="207"/>
    </row>
    <row r="20" spans="1:15" s="210" customFormat="1" ht="11.25">
      <c r="A20" s="207"/>
      <c r="B20" s="198">
        <f t="shared" si="2"/>
        <v>43386</v>
      </c>
      <c r="C20" s="199">
        <f t="shared" si="0"/>
        <v>7</v>
      </c>
      <c r="D20" s="200">
        <v>0</v>
      </c>
      <c r="E20" s="200">
        <v>0</v>
      </c>
      <c r="F20" s="268">
        <f t="shared" si="1"/>
        <v>0</v>
      </c>
      <c r="G20" s="200"/>
      <c r="H20" s="269">
        <f t="shared" si="3"/>
        <v>0</v>
      </c>
      <c r="I20" s="271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197"/>
      <c r="K20" s="208"/>
      <c r="L20" s="208"/>
      <c r="M20" s="208"/>
      <c r="N20" s="208"/>
      <c r="O20" s="207"/>
    </row>
    <row r="21" spans="1:15" s="210" customFormat="1" ht="11.25">
      <c r="A21" s="207"/>
      <c r="B21" s="198">
        <f t="shared" si="2"/>
        <v>43387</v>
      </c>
      <c r="C21" s="199">
        <f t="shared" si="0"/>
        <v>1</v>
      </c>
      <c r="D21" s="200">
        <v>0</v>
      </c>
      <c r="E21" s="200">
        <v>0</v>
      </c>
      <c r="F21" s="268">
        <f t="shared" si="1"/>
        <v>0</v>
      </c>
      <c r="G21" s="200"/>
      <c r="H21" s="269">
        <f t="shared" si="3"/>
        <v>0</v>
      </c>
      <c r="I21" s="271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197"/>
      <c r="K21" s="208"/>
      <c r="L21" s="208"/>
      <c r="M21" s="208"/>
      <c r="N21" s="208"/>
      <c r="O21" s="207"/>
    </row>
    <row r="22" spans="1:15" s="210" customFormat="1" ht="11.25">
      <c r="A22" s="207"/>
      <c r="B22" s="198">
        <f t="shared" si="2"/>
        <v>43388</v>
      </c>
      <c r="C22" s="199">
        <f t="shared" si="0"/>
        <v>2</v>
      </c>
      <c r="D22" s="200">
        <v>0</v>
      </c>
      <c r="E22" s="200">
        <v>0</v>
      </c>
      <c r="F22" s="268">
        <f t="shared" si="1"/>
        <v>0</v>
      </c>
      <c r="G22" s="200"/>
      <c r="H22" s="269">
        <f t="shared" si="3"/>
        <v>0</v>
      </c>
      <c r="I22" s="271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197"/>
      <c r="K22" s="208"/>
      <c r="L22" s="208"/>
      <c r="M22" s="208"/>
      <c r="N22" s="208"/>
      <c r="O22" s="207"/>
    </row>
    <row r="23" spans="1:15" s="210" customFormat="1" ht="11.25">
      <c r="A23" s="207"/>
      <c r="B23" s="198">
        <f t="shared" si="2"/>
        <v>43389</v>
      </c>
      <c r="C23" s="199">
        <f t="shared" si="0"/>
        <v>3</v>
      </c>
      <c r="D23" s="200">
        <v>0</v>
      </c>
      <c r="E23" s="200">
        <v>0</v>
      </c>
      <c r="F23" s="268">
        <f t="shared" si="1"/>
        <v>0</v>
      </c>
      <c r="G23" s="200"/>
      <c r="H23" s="269">
        <f t="shared" si="3"/>
        <v>0</v>
      </c>
      <c r="I23" s="271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197"/>
      <c r="K23" s="208"/>
      <c r="L23" s="208"/>
      <c r="M23" s="208"/>
      <c r="N23" s="208"/>
      <c r="O23" s="207"/>
    </row>
    <row r="24" spans="1:15" s="210" customFormat="1" ht="11.25">
      <c r="A24" s="207"/>
      <c r="B24" s="198">
        <f t="shared" si="2"/>
        <v>43390</v>
      </c>
      <c r="C24" s="199">
        <f t="shared" si="0"/>
        <v>4</v>
      </c>
      <c r="D24" s="200">
        <v>0</v>
      </c>
      <c r="E24" s="200">
        <v>0</v>
      </c>
      <c r="F24" s="268">
        <f t="shared" si="1"/>
        <v>0</v>
      </c>
      <c r="G24" s="200"/>
      <c r="H24" s="269">
        <f t="shared" si="3"/>
        <v>0</v>
      </c>
      <c r="I24" s="271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197"/>
      <c r="K24" s="208"/>
      <c r="L24" s="208"/>
      <c r="M24" s="208"/>
      <c r="N24" s="208"/>
      <c r="O24" s="207"/>
    </row>
    <row r="25" spans="1:15" s="210" customFormat="1" ht="11.25">
      <c r="A25" s="207"/>
      <c r="B25" s="198">
        <f t="shared" si="2"/>
        <v>43391</v>
      </c>
      <c r="C25" s="199">
        <f t="shared" si="0"/>
        <v>5</v>
      </c>
      <c r="D25" s="200">
        <v>0</v>
      </c>
      <c r="E25" s="200">
        <v>0</v>
      </c>
      <c r="F25" s="268">
        <f t="shared" si="1"/>
        <v>0</v>
      </c>
      <c r="G25" s="200"/>
      <c r="H25" s="269">
        <f t="shared" si="3"/>
        <v>0</v>
      </c>
      <c r="I25" s="271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197"/>
      <c r="K25" s="208"/>
      <c r="L25" s="208"/>
      <c r="M25" s="208"/>
      <c r="N25" s="208"/>
      <c r="O25" s="207"/>
    </row>
    <row r="26" spans="1:15" s="210" customFormat="1" ht="11.25">
      <c r="A26" s="207"/>
      <c r="B26" s="198">
        <f t="shared" si="2"/>
        <v>43392</v>
      </c>
      <c r="C26" s="199">
        <f t="shared" si="0"/>
        <v>6</v>
      </c>
      <c r="D26" s="200">
        <v>0</v>
      </c>
      <c r="E26" s="200">
        <v>0</v>
      </c>
      <c r="F26" s="268">
        <f t="shared" si="1"/>
        <v>0</v>
      </c>
      <c r="G26" s="200"/>
      <c r="H26" s="269">
        <f t="shared" si="3"/>
        <v>0</v>
      </c>
      <c r="I26" s="271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197"/>
      <c r="K26" s="208"/>
      <c r="L26" s="208"/>
      <c r="M26" s="208"/>
      <c r="N26" s="208"/>
      <c r="O26" s="207"/>
    </row>
    <row r="27" spans="1:15" s="210" customFormat="1" ht="11.25">
      <c r="A27" s="207"/>
      <c r="B27" s="198">
        <f t="shared" si="2"/>
        <v>43393</v>
      </c>
      <c r="C27" s="199">
        <f t="shared" si="0"/>
        <v>7</v>
      </c>
      <c r="D27" s="200">
        <v>0</v>
      </c>
      <c r="E27" s="200">
        <v>0</v>
      </c>
      <c r="F27" s="268">
        <f t="shared" si="1"/>
        <v>0</v>
      </c>
      <c r="G27" s="200"/>
      <c r="H27" s="269">
        <f t="shared" si="3"/>
        <v>0</v>
      </c>
      <c r="I27" s="271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197"/>
      <c r="K27" s="208"/>
      <c r="L27" s="208"/>
      <c r="M27" s="208"/>
      <c r="N27" s="208"/>
      <c r="O27" s="207"/>
    </row>
    <row r="28" spans="1:15" s="210" customFormat="1" ht="11.25">
      <c r="A28" s="207"/>
      <c r="B28" s="198">
        <f t="shared" si="2"/>
        <v>43394</v>
      </c>
      <c r="C28" s="199">
        <f t="shared" si="0"/>
        <v>1</v>
      </c>
      <c r="D28" s="200">
        <v>0</v>
      </c>
      <c r="E28" s="200">
        <v>0</v>
      </c>
      <c r="F28" s="268">
        <f t="shared" si="1"/>
        <v>0</v>
      </c>
      <c r="G28" s="200"/>
      <c r="H28" s="269">
        <f t="shared" si="3"/>
        <v>0</v>
      </c>
      <c r="I28" s="271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197"/>
      <c r="K28" s="208"/>
      <c r="L28" s="208"/>
      <c r="M28" s="208"/>
      <c r="N28" s="208"/>
      <c r="O28" s="207"/>
    </row>
    <row r="29" spans="1:15" s="210" customFormat="1" ht="11.25">
      <c r="A29" s="207"/>
      <c r="B29" s="198">
        <f t="shared" si="2"/>
        <v>43395</v>
      </c>
      <c r="C29" s="199">
        <f t="shared" si="0"/>
        <v>2</v>
      </c>
      <c r="D29" s="200">
        <v>0</v>
      </c>
      <c r="E29" s="200">
        <v>0</v>
      </c>
      <c r="F29" s="268">
        <f t="shared" si="1"/>
        <v>0</v>
      </c>
      <c r="G29" s="200"/>
      <c r="H29" s="269">
        <f t="shared" si="3"/>
        <v>0</v>
      </c>
      <c r="I29" s="271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197"/>
      <c r="K29" s="208"/>
      <c r="L29" s="208"/>
      <c r="M29" s="208"/>
      <c r="N29" s="208"/>
      <c r="O29" s="207"/>
    </row>
    <row r="30" spans="1:15" s="210" customFormat="1" ht="11.25">
      <c r="A30" s="207"/>
      <c r="B30" s="198">
        <f t="shared" si="2"/>
        <v>43396</v>
      </c>
      <c r="C30" s="199">
        <f t="shared" si="0"/>
        <v>3</v>
      </c>
      <c r="D30" s="200">
        <v>0</v>
      </c>
      <c r="E30" s="200">
        <v>0</v>
      </c>
      <c r="F30" s="268">
        <f t="shared" si="1"/>
        <v>0</v>
      </c>
      <c r="G30" s="200"/>
      <c r="H30" s="269">
        <f t="shared" si="3"/>
        <v>0</v>
      </c>
      <c r="I30" s="271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197"/>
      <c r="K30" s="208"/>
      <c r="L30" s="208"/>
      <c r="M30" s="208"/>
      <c r="N30" s="208"/>
      <c r="O30" s="207"/>
    </row>
    <row r="31" spans="1:15" s="210" customFormat="1" ht="11.25">
      <c r="A31" s="207"/>
      <c r="B31" s="198">
        <f t="shared" si="2"/>
        <v>43397</v>
      </c>
      <c r="C31" s="199">
        <f t="shared" si="0"/>
        <v>4</v>
      </c>
      <c r="D31" s="200">
        <v>0</v>
      </c>
      <c r="E31" s="200">
        <v>0</v>
      </c>
      <c r="F31" s="268">
        <f t="shared" si="1"/>
        <v>0</v>
      </c>
      <c r="G31" s="200"/>
      <c r="H31" s="269">
        <f t="shared" si="3"/>
        <v>0</v>
      </c>
      <c r="I31" s="271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197"/>
      <c r="K31" s="208"/>
      <c r="L31" s="208"/>
      <c r="M31" s="208"/>
      <c r="N31" s="208"/>
      <c r="O31" s="207"/>
    </row>
    <row r="32" spans="1:15" s="210" customFormat="1" ht="11.25">
      <c r="A32" s="207"/>
      <c r="B32" s="198">
        <f t="shared" si="2"/>
        <v>43398</v>
      </c>
      <c r="C32" s="199">
        <f t="shared" si="0"/>
        <v>5</v>
      </c>
      <c r="D32" s="200">
        <v>0</v>
      </c>
      <c r="E32" s="200">
        <v>0</v>
      </c>
      <c r="F32" s="268">
        <f t="shared" si="1"/>
        <v>0</v>
      </c>
      <c r="G32" s="200"/>
      <c r="H32" s="269">
        <f t="shared" si="3"/>
        <v>0</v>
      </c>
      <c r="I32" s="271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197"/>
      <c r="K32" s="208"/>
      <c r="L32" s="208"/>
      <c r="M32" s="208"/>
      <c r="N32" s="208"/>
      <c r="O32" s="207"/>
    </row>
    <row r="33" spans="1:15" s="210" customFormat="1" ht="11.25">
      <c r="A33" s="207"/>
      <c r="B33" s="198">
        <f t="shared" si="2"/>
        <v>43399</v>
      </c>
      <c r="C33" s="199">
        <f t="shared" si="0"/>
        <v>6</v>
      </c>
      <c r="D33" s="200">
        <v>0</v>
      </c>
      <c r="E33" s="200">
        <v>0</v>
      </c>
      <c r="F33" s="268">
        <f t="shared" si="1"/>
        <v>0</v>
      </c>
      <c r="G33" s="200"/>
      <c r="H33" s="269">
        <f t="shared" si="3"/>
        <v>0</v>
      </c>
      <c r="I33" s="271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197"/>
      <c r="K33" s="208"/>
      <c r="L33" s="208"/>
      <c r="M33" s="208"/>
      <c r="N33" s="208"/>
      <c r="O33" s="207"/>
    </row>
    <row r="34" spans="1:15" s="210" customFormat="1" ht="11.25">
      <c r="A34" s="207"/>
      <c r="B34" s="198">
        <f t="shared" si="2"/>
        <v>43400</v>
      </c>
      <c r="C34" s="199">
        <f t="shared" si="0"/>
        <v>7</v>
      </c>
      <c r="D34" s="200">
        <v>0</v>
      </c>
      <c r="E34" s="200">
        <v>0</v>
      </c>
      <c r="F34" s="268">
        <f t="shared" si="1"/>
        <v>0</v>
      </c>
      <c r="G34" s="200"/>
      <c r="H34" s="269">
        <f t="shared" si="3"/>
        <v>0</v>
      </c>
      <c r="I34" s="271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197"/>
      <c r="K34" s="208"/>
      <c r="L34" s="208"/>
      <c r="M34" s="208"/>
      <c r="N34" s="208"/>
      <c r="O34" s="207"/>
    </row>
    <row r="35" spans="1:15" s="210" customFormat="1" ht="11.25">
      <c r="A35" s="207"/>
      <c r="B35" s="198">
        <f t="shared" si="2"/>
        <v>43401</v>
      </c>
      <c r="C35" s="199">
        <f t="shared" si="0"/>
        <v>1</v>
      </c>
      <c r="D35" s="200">
        <v>0</v>
      </c>
      <c r="E35" s="200">
        <v>0</v>
      </c>
      <c r="F35" s="268">
        <f t="shared" si="1"/>
        <v>0</v>
      </c>
      <c r="G35" s="200"/>
      <c r="H35" s="269">
        <f t="shared" si="3"/>
        <v>0</v>
      </c>
      <c r="I35" s="271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197"/>
      <c r="K35" s="208"/>
      <c r="L35" s="208"/>
      <c r="M35" s="208"/>
      <c r="N35" s="208"/>
      <c r="O35" s="207"/>
    </row>
    <row r="36" spans="1:15" s="210" customFormat="1" ht="11.25">
      <c r="A36" s="207"/>
      <c r="B36" s="198">
        <f t="shared" si="2"/>
        <v>43402</v>
      </c>
      <c r="C36" s="199">
        <f t="shared" si="0"/>
        <v>2</v>
      </c>
      <c r="D36" s="200">
        <v>0</v>
      </c>
      <c r="E36" s="200">
        <v>0</v>
      </c>
      <c r="F36" s="268">
        <f t="shared" si="1"/>
        <v>0</v>
      </c>
      <c r="G36" s="200"/>
      <c r="H36" s="269">
        <f t="shared" si="3"/>
        <v>0</v>
      </c>
      <c r="I36" s="271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197"/>
      <c r="K36" s="208"/>
      <c r="L36" s="208"/>
      <c r="M36" s="208"/>
      <c r="N36" s="208"/>
      <c r="O36" s="207"/>
    </row>
    <row r="37" spans="1:15" s="210" customFormat="1" ht="11.25">
      <c r="A37" s="207"/>
      <c r="B37" s="198">
        <f t="shared" si="2"/>
        <v>43403</v>
      </c>
      <c r="C37" s="199">
        <f t="shared" si="0"/>
        <v>3</v>
      </c>
      <c r="D37" s="200">
        <v>0</v>
      </c>
      <c r="E37" s="200">
        <v>0</v>
      </c>
      <c r="F37" s="268">
        <f t="shared" si="1"/>
        <v>0</v>
      </c>
      <c r="G37" s="200"/>
      <c r="H37" s="269">
        <f t="shared" si="3"/>
        <v>0</v>
      </c>
      <c r="I37" s="271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197"/>
      <c r="K37" s="208"/>
      <c r="L37" s="208"/>
      <c r="M37" s="208"/>
      <c r="N37" s="208"/>
      <c r="O37" s="207"/>
    </row>
    <row r="38" spans="1:15" s="210" customFormat="1" ht="11.25">
      <c r="A38" s="207"/>
      <c r="B38" s="198">
        <f t="shared" si="2"/>
        <v>43404</v>
      </c>
      <c r="C38" s="199">
        <f t="shared" si="0"/>
        <v>4</v>
      </c>
      <c r="D38" s="200">
        <v>0</v>
      </c>
      <c r="E38" s="200">
        <v>0</v>
      </c>
      <c r="F38" s="268">
        <f t="shared" si="1"/>
        <v>0</v>
      </c>
      <c r="G38" s="200"/>
      <c r="H38" s="269">
        <f t="shared" si="3"/>
        <v>0</v>
      </c>
      <c r="I38" s="271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197"/>
      <c r="K38" s="208"/>
      <c r="L38" s="208"/>
      <c r="M38" s="208"/>
      <c r="N38" s="208"/>
      <c r="O38" s="207"/>
    </row>
    <row r="39" spans="1:15" s="210" customFormat="1" ht="12" customHeight="1">
      <c r="A39" s="211"/>
      <c r="B39" s="188"/>
      <c r="C39" s="188"/>
      <c r="D39" s="577" t="s">
        <v>88</v>
      </c>
      <c r="E39" s="578"/>
      <c r="F39" s="270">
        <f>SUM(F7:F38)</f>
        <v>0</v>
      </c>
      <c r="G39" s="281"/>
      <c r="H39" s="270">
        <f>SUM(H8:H38)</f>
        <v>0</v>
      </c>
      <c r="I39" s="272">
        <f>SUM(I8:I38)</f>
        <v>0</v>
      </c>
      <c r="J39" s="244"/>
      <c r="K39" s="208"/>
      <c r="L39" s="208"/>
      <c r="M39" s="208"/>
      <c r="N39" s="208"/>
      <c r="O39" s="207"/>
    </row>
    <row r="40" spans="1:15" s="210" customFormat="1" ht="12" customHeight="1">
      <c r="A40" s="211"/>
      <c r="B40" s="188"/>
      <c r="C40" s="657" t="s">
        <v>318</v>
      </c>
      <c r="D40" s="657"/>
      <c r="E40" s="658"/>
      <c r="F40" s="576">
        <f>SUM(H39,PRODUCT(SUM(J40,J42),Stammdaten!H28))</f>
        <v>0</v>
      </c>
      <c r="G40" s="664" t="s">
        <v>90</v>
      </c>
      <c r="H40" s="665"/>
      <c r="I40" s="666"/>
      <c r="J40" s="204">
        <f>COUNTIF(J8:J38,"u")</f>
        <v>0</v>
      </c>
      <c r="K40" s="208"/>
      <c r="L40" s="208"/>
      <c r="M40" s="208"/>
      <c r="N40" s="208"/>
      <c r="O40" s="207"/>
    </row>
    <row r="41" spans="1:15" s="210" customFormat="1" ht="11.25">
      <c r="A41" s="211"/>
      <c r="B41" s="188"/>
      <c r="C41" s="659" t="s">
        <v>117</v>
      </c>
      <c r="D41" s="659"/>
      <c r="E41" s="660"/>
      <c r="F41" s="282">
        <v>0</v>
      </c>
      <c r="G41" s="650" t="s">
        <v>115</v>
      </c>
      <c r="H41" s="651"/>
      <c r="I41" s="652"/>
      <c r="J41" s="205">
        <f>Sep!J41-J40</f>
        <v>25</v>
      </c>
      <c r="K41" s="208"/>
      <c r="L41" s="208"/>
      <c r="M41" s="208"/>
      <c r="N41" s="208"/>
      <c r="O41" s="207"/>
    </row>
    <row r="42" spans="1:15" s="210" customFormat="1" ht="11.25">
      <c r="A42" s="211"/>
      <c r="B42" s="188"/>
      <c r="C42" s="615" t="s">
        <v>121</v>
      </c>
      <c r="D42" s="615"/>
      <c r="E42" s="661"/>
      <c r="F42" s="283">
        <v>0</v>
      </c>
      <c r="G42" s="664" t="s">
        <v>91</v>
      </c>
      <c r="H42" s="665"/>
      <c r="I42" s="666"/>
      <c r="J42" s="206">
        <f>COUNTIF(J8:J38,"k")</f>
        <v>0</v>
      </c>
      <c r="K42" s="193"/>
      <c r="L42" s="212"/>
      <c r="M42" s="197">
        <f>COUNTIF(M8:M38,"k")</f>
        <v>0</v>
      </c>
      <c r="N42" s="208"/>
      <c r="O42" s="207"/>
    </row>
    <row r="43" spans="1:15" s="210" customFormat="1" ht="11.25">
      <c r="A43" s="211"/>
      <c r="B43" s="188"/>
      <c r="C43" s="662" t="s">
        <v>122</v>
      </c>
      <c r="D43" s="662"/>
      <c r="E43" s="663"/>
      <c r="F43" s="284">
        <v>0</v>
      </c>
      <c r="G43" s="664" t="s">
        <v>116</v>
      </c>
      <c r="H43" s="640"/>
      <c r="I43" s="640"/>
      <c r="J43" s="197">
        <f>COUNTIF(J8:J38,"nu")</f>
        <v>0</v>
      </c>
      <c r="K43" s="208"/>
      <c r="L43" s="208"/>
      <c r="M43" s="208"/>
      <c r="N43" s="208"/>
      <c r="O43" s="207"/>
    </row>
    <row r="44" spans="1:15" s="210" customFormat="1" ht="12.75">
      <c r="A44" s="211"/>
      <c r="B44" s="188"/>
      <c r="C44" s="615" t="str">
        <f>Stammdaten!$F$23</f>
        <v>Sonderschicht I</v>
      </c>
      <c r="D44" s="615"/>
      <c r="E44" s="661"/>
      <c r="F44" s="283">
        <v>0</v>
      </c>
      <c r="H44" s="81"/>
      <c r="I44" s="5"/>
      <c r="J44" s="5"/>
      <c r="K44" s="208"/>
      <c r="L44" s="208"/>
      <c r="M44" s="208"/>
      <c r="N44" s="208"/>
      <c r="O44" s="207"/>
    </row>
    <row r="45" spans="1:15" s="210" customFormat="1" ht="11.25">
      <c r="A45" s="211"/>
      <c r="B45" s="188"/>
      <c r="C45" s="615" t="str">
        <f>Stammdaten!$G$24</f>
        <v>Sonderschicht II</v>
      </c>
      <c r="D45" s="615"/>
      <c r="E45" s="661"/>
      <c r="F45" s="283">
        <v>0</v>
      </c>
      <c r="G45" s="193"/>
      <c r="H45" s="485"/>
      <c r="I45" s="492"/>
      <c r="J45" s="211"/>
      <c r="K45" s="208"/>
      <c r="L45" s="208"/>
      <c r="M45" s="208"/>
      <c r="N45" s="208"/>
      <c r="O45" s="207"/>
    </row>
    <row r="46" spans="1:14" ht="11.25" customHeight="1">
      <c r="A46" s="165"/>
      <c r="B46" s="182"/>
      <c r="C46" s="653" t="s">
        <v>183</v>
      </c>
      <c r="D46" s="653"/>
      <c r="E46" s="654"/>
      <c r="F46" s="274">
        <f>$I$39</f>
        <v>0</v>
      </c>
      <c r="G46" s="183"/>
      <c r="H46" s="81"/>
      <c r="I46" s="5"/>
      <c r="J46" s="5"/>
      <c r="K46" s="77"/>
      <c r="L46" s="65"/>
      <c r="M46" s="65"/>
      <c r="N46" s="65"/>
    </row>
    <row r="47" spans="2:12" ht="12.75">
      <c r="B47" s="182"/>
      <c r="C47" s="655" t="s">
        <v>33</v>
      </c>
      <c r="D47" s="655"/>
      <c r="E47" s="656"/>
      <c r="F47" s="564">
        <f>Arbeitszeitübersicht!D8/24</f>
        <v>0.4791666666666667</v>
      </c>
      <c r="G47" s="222"/>
      <c r="H47" s="81"/>
      <c r="I47" s="5"/>
      <c r="J47" s="5"/>
      <c r="K47" s="5"/>
      <c r="L47" s="4"/>
    </row>
    <row r="48" spans="2:14" ht="12.75">
      <c r="B48" s="4"/>
      <c r="C48" s="4"/>
      <c r="D48" s="4"/>
      <c r="E48" s="4"/>
      <c r="F48" s="4"/>
      <c r="H48" s="4"/>
      <c r="I48" s="102"/>
      <c r="J48" s="11"/>
      <c r="K48" s="11"/>
      <c r="L48" s="5"/>
      <c r="N48" s="101"/>
    </row>
    <row r="49" spans="2:12" ht="12.75">
      <c r="B49" s="5"/>
      <c r="C49" s="665"/>
      <c r="D49" s="665"/>
      <c r="E49" s="459" t="s">
        <v>251</v>
      </c>
      <c r="F49" s="460"/>
      <c r="G49" s="457"/>
      <c r="H49" s="458"/>
      <c r="I49" s="457"/>
      <c r="J49" s="457"/>
      <c r="K49" s="5"/>
      <c r="L49" s="4"/>
    </row>
    <row r="50" spans="2:12" ht="12.75">
      <c r="B50" s="5"/>
      <c r="C50" s="193"/>
      <c r="D50" s="193"/>
      <c r="E50" s="459"/>
      <c r="F50" s="459"/>
      <c r="G50" s="461"/>
      <c r="H50" s="65"/>
      <c r="I50" s="461"/>
      <c r="J50" s="461"/>
      <c r="K50" s="5"/>
      <c r="L50" s="4"/>
    </row>
    <row r="51" spans="2:13" ht="12.75">
      <c r="B51" s="4"/>
      <c r="C51" s="4"/>
      <c r="D51" s="5"/>
      <c r="E51" s="13"/>
      <c r="F51" s="669"/>
      <c r="G51" s="670"/>
      <c r="H51" s="670"/>
      <c r="I51" s="100"/>
      <c r="J51" s="100"/>
      <c r="K51" s="5"/>
      <c r="L51" s="5"/>
      <c r="M51" s="101"/>
    </row>
    <row r="52" spans="2:14" ht="12.75">
      <c r="B52" s="4"/>
      <c r="C52" s="4"/>
      <c r="D52" s="4"/>
      <c r="E52" s="5"/>
      <c r="F52" s="669"/>
      <c r="G52" s="670"/>
      <c r="H52" s="670"/>
      <c r="I52" s="81"/>
      <c r="J52" s="5"/>
      <c r="K52" s="5"/>
      <c r="L52" s="5"/>
      <c r="M52" s="101"/>
      <c r="N52" s="101"/>
    </row>
    <row r="53" spans="2:14" ht="12.75">
      <c r="B53" s="4"/>
      <c r="C53" s="4"/>
      <c r="D53" s="4"/>
      <c r="E53" s="4"/>
      <c r="F53" s="4"/>
      <c r="H53" s="4"/>
      <c r="I53" s="102"/>
      <c r="J53" s="11"/>
      <c r="K53" s="11"/>
      <c r="L53" s="5"/>
      <c r="N53" s="101"/>
    </row>
    <row r="54" spans="2:12" ht="0.75" customHeight="1">
      <c r="B54" s="4"/>
      <c r="C54" s="4"/>
      <c r="D54" s="4"/>
      <c r="E54" s="4"/>
      <c r="F54" s="4"/>
      <c r="H54" s="102"/>
      <c r="I54" s="11"/>
      <c r="J54" s="11"/>
      <c r="K54" s="5"/>
      <c r="L54" s="4"/>
    </row>
    <row r="55" spans="2:12" ht="12.75" customHeight="1" hidden="1">
      <c r="B55" s="4"/>
      <c r="C55" s="4"/>
      <c r="D55" s="4"/>
      <c r="E55" s="5"/>
      <c r="F55" s="5"/>
      <c r="G55" s="5"/>
      <c r="H55" s="102"/>
      <c r="I55" s="11"/>
      <c r="J55" s="5"/>
      <c r="K55" s="5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5"/>
      <c r="D57" s="5"/>
      <c r="E57" s="11"/>
      <c r="F57" s="13"/>
      <c r="G57" s="13"/>
      <c r="H57" s="81"/>
      <c r="I57" s="4"/>
      <c r="J57" s="4"/>
      <c r="K57" s="4"/>
      <c r="L57" s="4"/>
    </row>
    <row r="58" spans="2:12" ht="12.75" hidden="1">
      <c r="B58" s="4"/>
      <c r="C58" s="5"/>
      <c r="D58" s="5"/>
      <c r="E58" s="5"/>
      <c r="F58" s="5"/>
      <c r="G58" s="5"/>
      <c r="H58" s="5"/>
      <c r="I58" s="5"/>
      <c r="J58" s="5"/>
      <c r="K58" s="4"/>
      <c r="L58" s="4"/>
    </row>
    <row r="59" spans="2:12" ht="12.75" hidden="1">
      <c r="B59" s="4"/>
      <c r="C59" s="4"/>
      <c r="D59" s="4"/>
      <c r="E59" s="4"/>
      <c r="F59" s="4"/>
      <c r="H59" s="4"/>
      <c r="I59" s="5"/>
      <c r="J59" s="5"/>
      <c r="K59" s="4"/>
      <c r="L59" s="4"/>
    </row>
    <row r="60" spans="2:12" ht="15.75" customHeight="1" hidden="1">
      <c r="B60" s="4"/>
      <c r="C60" s="4"/>
      <c r="D60" s="4"/>
      <c r="E60" s="4"/>
      <c r="F60" s="4"/>
      <c r="H60" s="4"/>
      <c r="I60" s="4"/>
      <c r="J60" s="4"/>
      <c r="L60" s="4"/>
    </row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</sheetData>
  <sheetProtection/>
  <mergeCells count="18">
    <mergeCell ref="C46:E46"/>
    <mergeCell ref="G43:I43"/>
    <mergeCell ref="F51:H51"/>
    <mergeCell ref="F52:H52"/>
    <mergeCell ref="C49:D49"/>
    <mergeCell ref="C47:E47"/>
    <mergeCell ref="G42:I42"/>
    <mergeCell ref="C42:E42"/>
    <mergeCell ref="C43:E43"/>
    <mergeCell ref="C44:E44"/>
    <mergeCell ref="C45:E45"/>
    <mergeCell ref="B7:C7"/>
    <mergeCell ref="B4:C4"/>
    <mergeCell ref="J2:J6"/>
    <mergeCell ref="G41:I41"/>
    <mergeCell ref="C40:E40"/>
    <mergeCell ref="G40:I40"/>
    <mergeCell ref="C41:E41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8:B9 B11:B37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C8:C9 C11:C37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D8:H9 D11:H37">
    <cfRule type="expression" priority="7" dxfId="1" stopIfTrue="1">
      <formula>WEEKDAY($B8)=7</formula>
    </cfRule>
    <cfRule type="expression" priority="8" dxfId="0" stopIfTrue="1">
      <formula>WEEKDAY($B8)=1</formula>
    </cfRule>
  </conditionalFormatting>
  <conditionalFormatting sqref="B38:C38">
    <cfRule type="expression" priority="9" dxfId="10" stopIfTrue="1">
      <formula>$C5=$B38</formula>
    </cfRule>
    <cfRule type="expression" priority="10" dxfId="1" stopIfTrue="1">
      <formula>WEEKDAY(B38)=7</formula>
    </cfRule>
    <cfRule type="expression" priority="11" dxfId="50" stopIfTrue="1">
      <formula>WEEKDAY(B38)=1</formula>
    </cfRule>
  </conditionalFormatting>
  <conditionalFormatting sqref="D38:H38">
    <cfRule type="expression" priority="12" dxfId="10" stopIfTrue="1">
      <formula>$C5=$B38</formula>
    </cfRule>
    <cfRule type="expression" priority="13" dxfId="1" stopIfTrue="1">
      <formula>WEEKDAY($B38)=7</formula>
    </cfRule>
    <cfRule type="expression" priority="14" dxfId="50" stopIfTrue="1">
      <formula>WEEKDAY($B38)=1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8"/>
  <dimension ref="A1:O60"/>
  <sheetViews>
    <sheetView defaultGridColor="0" zoomScalePageLayoutView="0" colorId="22" workbookViewId="0" topLeftCell="A1">
      <selection activeCell="F40" sqref="F40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3.8515625" style="0" customWidth="1"/>
    <col min="4" max="5" width="7.4218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3"/>
      <c r="L1" s="14"/>
      <c r="M1" s="14"/>
      <c r="N1" s="14"/>
    </row>
    <row r="2" spans="2:14" ht="15">
      <c r="B2" s="446" t="str">
        <f>"Arbeitszeitachweis November "&amp;gewJahr</f>
        <v>Arbeitszeitachweis November 2018</v>
      </c>
      <c r="C2" s="447"/>
      <c r="D2" s="447"/>
      <c r="E2" s="447"/>
      <c r="F2" s="447"/>
      <c r="G2" s="446"/>
      <c r="H2" s="446"/>
      <c r="I2" s="446"/>
      <c r="J2" s="667" t="s">
        <v>92</v>
      </c>
      <c r="K2" s="13"/>
      <c r="L2" s="63"/>
      <c r="M2" s="14"/>
      <c r="N2" s="14"/>
    </row>
    <row r="3" spans="2:14" ht="13.5" customHeight="1">
      <c r="B3" s="484" t="s">
        <v>124</v>
      </c>
      <c r="C3" s="456" t="str">
        <f>Stammdaten!$B$6</f>
        <v>Mustermann, Hans</v>
      </c>
      <c r="D3" s="449"/>
      <c r="E3" s="449"/>
      <c r="F3" s="450"/>
      <c r="G3" s="450"/>
      <c r="H3" s="445"/>
      <c r="I3" s="451"/>
      <c r="J3" s="643"/>
      <c r="K3" s="14"/>
      <c r="L3" s="13"/>
      <c r="M3" s="13"/>
      <c r="N3" s="13"/>
    </row>
    <row r="4" spans="2:14" ht="0.75" customHeight="1">
      <c r="B4" s="671"/>
      <c r="C4" s="671"/>
      <c r="D4" s="448"/>
      <c r="E4" s="449"/>
      <c r="F4" s="449"/>
      <c r="G4" s="450"/>
      <c r="H4" s="14"/>
      <c r="I4" s="14"/>
      <c r="J4" s="643"/>
      <c r="K4" s="4"/>
      <c r="L4" s="14"/>
      <c r="M4" s="14"/>
      <c r="N4" s="14"/>
    </row>
    <row r="5" spans="2:12" ht="15" customHeight="1" hidden="1">
      <c r="B5" s="4"/>
      <c r="C5" s="66">
        <f>IF(Stammdaten!M23="x",Stammdaten!J23,0)</f>
        <v>0</v>
      </c>
      <c r="D5" s="4"/>
      <c r="E5" s="4"/>
      <c r="F5" s="4"/>
      <c r="H5" s="4"/>
      <c r="I5" s="4"/>
      <c r="J5" s="643"/>
      <c r="K5" s="5"/>
      <c r="L5" s="4"/>
    </row>
    <row r="6" spans="2:14" ht="15" customHeight="1">
      <c r="B6" s="80"/>
      <c r="C6" s="43"/>
      <c r="D6" s="43"/>
      <c r="E6" s="43"/>
      <c r="F6" s="43"/>
      <c r="G6" s="43"/>
      <c r="H6" s="43"/>
      <c r="I6" s="43"/>
      <c r="J6" s="668"/>
      <c r="K6" s="78"/>
      <c r="L6" s="5"/>
      <c r="M6" s="5"/>
      <c r="N6" s="5"/>
    </row>
    <row r="7" spans="1:15" s="210" customFormat="1" ht="24.75" customHeight="1">
      <c r="A7" s="207"/>
      <c r="B7" s="648" t="s">
        <v>38</v>
      </c>
      <c r="C7" s="649"/>
      <c r="D7" s="453" t="s">
        <v>247</v>
      </c>
      <c r="E7" s="454" t="s">
        <v>248</v>
      </c>
      <c r="F7" s="455" t="s">
        <v>249</v>
      </c>
      <c r="G7" s="455" t="s">
        <v>250</v>
      </c>
      <c r="H7" s="177" t="s">
        <v>65</v>
      </c>
      <c r="I7" s="178" t="s">
        <v>39</v>
      </c>
      <c r="J7" s="179" t="s">
        <v>89</v>
      </c>
      <c r="K7" s="209"/>
      <c r="L7" s="213"/>
      <c r="M7" s="213"/>
      <c r="N7" s="213"/>
      <c r="O7" s="207"/>
    </row>
    <row r="8" spans="1:15" s="210" customFormat="1" ht="11.25">
      <c r="A8" s="207"/>
      <c r="B8" s="198">
        <f>DATE(gewJahr,11,1)</f>
        <v>43405</v>
      </c>
      <c r="C8" s="199">
        <f>WEEKDAY(B8)</f>
        <v>5</v>
      </c>
      <c r="D8" s="227">
        <v>0</v>
      </c>
      <c r="E8" s="227">
        <v>0</v>
      </c>
      <c r="F8" s="268">
        <f aca="true" t="shared" si="0" ref="F8:F37">MAX(IF(D8&lt;=E8,E8-D8,"24:00"-D8+E8)-G8,0)</f>
        <v>0</v>
      </c>
      <c r="G8" s="227"/>
      <c r="H8" s="227">
        <f>IF(F8-I8&gt;0,F8-I8,0)</f>
        <v>0</v>
      </c>
      <c r="I8" s="271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197"/>
      <c r="K8" s="208"/>
      <c r="L8" s="209"/>
      <c r="M8" s="209"/>
      <c r="N8" s="209"/>
      <c r="O8" s="207"/>
    </row>
    <row r="9" spans="1:15" s="210" customFormat="1" ht="11.25">
      <c r="A9" s="207"/>
      <c r="B9" s="198">
        <f aca="true" t="shared" si="1" ref="B9:B37">B8+1</f>
        <v>43406</v>
      </c>
      <c r="C9" s="199">
        <f aca="true" t="shared" si="2" ref="C9:C37">WEEKDAY(B9)</f>
        <v>6</v>
      </c>
      <c r="D9" s="200">
        <v>0</v>
      </c>
      <c r="E9" s="200">
        <v>0</v>
      </c>
      <c r="F9" s="268">
        <f t="shared" si="0"/>
        <v>0</v>
      </c>
      <c r="G9" s="200"/>
      <c r="H9" s="227">
        <f aca="true" t="shared" si="3" ref="H9:H37">IF(F9-I9&gt;0,F9-I9,0)</f>
        <v>0</v>
      </c>
      <c r="I9" s="271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197"/>
      <c r="K9" s="208"/>
      <c r="L9" s="208"/>
      <c r="M9" s="208"/>
      <c r="N9" s="208"/>
      <c r="O9" s="207"/>
    </row>
    <row r="10" spans="1:15" s="210" customFormat="1" ht="11.25">
      <c r="A10" s="207"/>
      <c r="B10" s="198">
        <f t="shared" si="1"/>
        <v>43407</v>
      </c>
      <c r="C10" s="199">
        <f t="shared" si="2"/>
        <v>7</v>
      </c>
      <c r="D10" s="200">
        <v>0</v>
      </c>
      <c r="E10" s="200">
        <v>0</v>
      </c>
      <c r="F10" s="268">
        <f t="shared" si="0"/>
        <v>0</v>
      </c>
      <c r="G10" s="200"/>
      <c r="H10" s="227">
        <f t="shared" si="3"/>
        <v>0</v>
      </c>
      <c r="I10" s="271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197"/>
      <c r="K10" s="208"/>
      <c r="L10" s="208"/>
      <c r="M10" s="208"/>
      <c r="N10" s="208"/>
      <c r="O10" s="207"/>
    </row>
    <row r="11" spans="1:15" s="210" customFormat="1" ht="11.25">
      <c r="A11" s="207"/>
      <c r="B11" s="198">
        <f t="shared" si="1"/>
        <v>43408</v>
      </c>
      <c r="C11" s="199">
        <f t="shared" si="2"/>
        <v>1</v>
      </c>
      <c r="D11" s="200">
        <v>0</v>
      </c>
      <c r="E11" s="200">
        <v>0</v>
      </c>
      <c r="F11" s="268">
        <f t="shared" si="0"/>
        <v>0</v>
      </c>
      <c r="G11" s="200"/>
      <c r="H11" s="227">
        <f t="shared" si="3"/>
        <v>0</v>
      </c>
      <c r="I11" s="271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197"/>
      <c r="K11" s="208"/>
      <c r="L11" s="208"/>
      <c r="M11" s="208"/>
      <c r="N11" s="208"/>
      <c r="O11" s="207"/>
    </row>
    <row r="12" spans="1:15" s="210" customFormat="1" ht="11.25">
      <c r="A12" s="207"/>
      <c r="B12" s="198">
        <f t="shared" si="1"/>
        <v>43409</v>
      </c>
      <c r="C12" s="199">
        <f t="shared" si="2"/>
        <v>2</v>
      </c>
      <c r="D12" s="200">
        <v>0</v>
      </c>
      <c r="E12" s="200">
        <v>0</v>
      </c>
      <c r="F12" s="268">
        <f t="shared" si="0"/>
        <v>0</v>
      </c>
      <c r="G12" s="200"/>
      <c r="H12" s="227">
        <f t="shared" si="3"/>
        <v>0</v>
      </c>
      <c r="I12" s="271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197"/>
      <c r="K12" s="209"/>
      <c r="L12" s="208"/>
      <c r="M12" s="208"/>
      <c r="N12" s="208"/>
      <c r="O12" s="207"/>
    </row>
    <row r="13" spans="1:15" s="210" customFormat="1" ht="11.25">
      <c r="A13" s="207"/>
      <c r="B13" s="198">
        <f t="shared" si="1"/>
        <v>43410</v>
      </c>
      <c r="C13" s="199">
        <f t="shared" si="2"/>
        <v>3</v>
      </c>
      <c r="D13" s="200">
        <v>0</v>
      </c>
      <c r="E13" s="200">
        <v>0</v>
      </c>
      <c r="F13" s="268">
        <f t="shared" si="0"/>
        <v>0</v>
      </c>
      <c r="G13" s="200"/>
      <c r="H13" s="227">
        <f t="shared" si="3"/>
        <v>0</v>
      </c>
      <c r="I13" s="271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197"/>
      <c r="K13" s="208"/>
      <c r="L13" s="209"/>
      <c r="M13" s="208"/>
      <c r="N13" s="208"/>
      <c r="O13" s="207"/>
    </row>
    <row r="14" spans="1:15" s="210" customFormat="1" ht="11.25">
      <c r="A14" s="207"/>
      <c r="B14" s="198">
        <f t="shared" si="1"/>
        <v>43411</v>
      </c>
      <c r="C14" s="199">
        <f t="shared" si="2"/>
        <v>4</v>
      </c>
      <c r="D14" s="200">
        <v>0</v>
      </c>
      <c r="E14" s="200">
        <v>0</v>
      </c>
      <c r="F14" s="268">
        <f t="shared" si="0"/>
        <v>0</v>
      </c>
      <c r="G14" s="200"/>
      <c r="H14" s="227">
        <f t="shared" si="3"/>
        <v>0</v>
      </c>
      <c r="I14" s="271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197"/>
      <c r="K14" s="208"/>
      <c r="L14" s="208"/>
      <c r="M14" s="208"/>
      <c r="N14" s="208"/>
      <c r="O14" s="207"/>
    </row>
    <row r="15" spans="1:15" s="210" customFormat="1" ht="11.25">
      <c r="A15" s="207"/>
      <c r="B15" s="198">
        <f t="shared" si="1"/>
        <v>43412</v>
      </c>
      <c r="C15" s="199">
        <f t="shared" si="2"/>
        <v>5</v>
      </c>
      <c r="D15" s="200">
        <v>0</v>
      </c>
      <c r="E15" s="200">
        <v>0</v>
      </c>
      <c r="F15" s="268">
        <f t="shared" si="0"/>
        <v>0</v>
      </c>
      <c r="G15" s="200"/>
      <c r="H15" s="227">
        <f t="shared" si="3"/>
        <v>0</v>
      </c>
      <c r="I15" s="271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197"/>
      <c r="K15" s="208"/>
      <c r="L15" s="208"/>
      <c r="M15" s="208"/>
      <c r="N15" s="208"/>
      <c r="O15" s="207"/>
    </row>
    <row r="16" spans="1:15" s="210" customFormat="1" ht="11.25">
      <c r="A16" s="207"/>
      <c r="B16" s="198">
        <f t="shared" si="1"/>
        <v>43413</v>
      </c>
      <c r="C16" s="199">
        <f t="shared" si="2"/>
        <v>6</v>
      </c>
      <c r="D16" s="200">
        <v>0</v>
      </c>
      <c r="E16" s="200">
        <v>0</v>
      </c>
      <c r="F16" s="268">
        <f t="shared" si="0"/>
        <v>0</v>
      </c>
      <c r="G16" s="200"/>
      <c r="H16" s="227">
        <f t="shared" si="3"/>
        <v>0</v>
      </c>
      <c r="I16" s="271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197"/>
      <c r="K16" s="208"/>
      <c r="L16" s="208"/>
      <c r="M16" s="208"/>
      <c r="N16" s="208"/>
      <c r="O16" s="207"/>
    </row>
    <row r="17" spans="1:15" s="210" customFormat="1" ht="11.25">
      <c r="A17" s="207"/>
      <c r="B17" s="198">
        <f t="shared" si="1"/>
        <v>43414</v>
      </c>
      <c r="C17" s="199">
        <f t="shared" si="2"/>
        <v>7</v>
      </c>
      <c r="D17" s="200">
        <v>0</v>
      </c>
      <c r="E17" s="200">
        <v>0</v>
      </c>
      <c r="F17" s="268">
        <f t="shared" si="0"/>
        <v>0</v>
      </c>
      <c r="G17" s="200"/>
      <c r="H17" s="227">
        <f t="shared" si="3"/>
        <v>0</v>
      </c>
      <c r="I17" s="271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197"/>
      <c r="K17" s="208"/>
      <c r="L17" s="208"/>
      <c r="M17" s="208"/>
      <c r="N17" s="208"/>
      <c r="O17" s="207"/>
    </row>
    <row r="18" spans="1:15" s="210" customFormat="1" ht="11.25">
      <c r="A18" s="207"/>
      <c r="B18" s="198">
        <f t="shared" si="1"/>
        <v>43415</v>
      </c>
      <c r="C18" s="199">
        <f t="shared" si="2"/>
        <v>1</v>
      </c>
      <c r="D18" s="200">
        <v>0</v>
      </c>
      <c r="E18" s="200">
        <v>0</v>
      </c>
      <c r="F18" s="268">
        <f t="shared" si="0"/>
        <v>0</v>
      </c>
      <c r="G18" s="200"/>
      <c r="H18" s="227">
        <f t="shared" si="3"/>
        <v>0</v>
      </c>
      <c r="I18" s="271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197"/>
      <c r="K18" s="208"/>
      <c r="L18" s="208"/>
      <c r="M18" s="208"/>
      <c r="N18" s="208"/>
      <c r="O18" s="207"/>
    </row>
    <row r="19" spans="1:15" s="210" customFormat="1" ht="11.25">
      <c r="A19" s="207"/>
      <c r="B19" s="198">
        <f t="shared" si="1"/>
        <v>43416</v>
      </c>
      <c r="C19" s="199">
        <f t="shared" si="2"/>
        <v>2</v>
      </c>
      <c r="D19" s="200">
        <v>0</v>
      </c>
      <c r="E19" s="200">
        <v>0</v>
      </c>
      <c r="F19" s="268">
        <f t="shared" si="0"/>
        <v>0</v>
      </c>
      <c r="G19" s="200"/>
      <c r="H19" s="227">
        <f t="shared" si="3"/>
        <v>0</v>
      </c>
      <c r="I19" s="271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197"/>
      <c r="K19" s="208"/>
      <c r="L19" s="208"/>
      <c r="M19" s="208"/>
      <c r="N19" s="208"/>
      <c r="O19" s="207"/>
    </row>
    <row r="20" spans="1:15" s="210" customFormat="1" ht="11.25">
      <c r="A20" s="207"/>
      <c r="B20" s="198">
        <f t="shared" si="1"/>
        <v>43417</v>
      </c>
      <c r="C20" s="199">
        <f t="shared" si="2"/>
        <v>3</v>
      </c>
      <c r="D20" s="200">
        <v>0</v>
      </c>
      <c r="E20" s="200">
        <v>0</v>
      </c>
      <c r="F20" s="268">
        <f t="shared" si="0"/>
        <v>0</v>
      </c>
      <c r="G20" s="200"/>
      <c r="H20" s="227">
        <f t="shared" si="3"/>
        <v>0</v>
      </c>
      <c r="I20" s="271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197"/>
      <c r="K20" s="208"/>
      <c r="L20" s="208"/>
      <c r="M20" s="208"/>
      <c r="N20" s="208"/>
      <c r="O20" s="207"/>
    </row>
    <row r="21" spans="1:15" s="210" customFormat="1" ht="11.25">
      <c r="A21" s="207"/>
      <c r="B21" s="198">
        <f t="shared" si="1"/>
        <v>43418</v>
      </c>
      <c r="C21" s="199">
        <f t="shared" si="2"/>
        <v>4</v>
      </c>
      <c r="D21" s="200">
        <v>0</v>
      </c>
      <c r="E21" s="200">
        <v>0</v>
      </c>
      <c r="F21" s="268">
        <f t="shared" si="0"/>
        <v>0</v>
      </c>
      <c r="G21" s="200"/>
      <c r="H21" s="227">
        <f t="shared" si="3"/>
        <v>0</v>
      </c>
      <c r="I21" s="271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197"/>
      <c r="K21" s="208"/>
      <c r="L21" s="208"/>
      <c r="M21" s="208"/>
      <c r="N21" s="208"/>
      <c r="O21" s="207"/>
    </row>
    <row r="22" spans="1:15" s="210" customFormat="1" ht="11.25">
      <c r="A22" s="207"/>
      <c r="B22" s="198">
        <f t="shared" si="1"/>
        <v>43419</v>
      </c>
      <c r="C22" s="199">
        <f t="shared" si="2"/>
        <v>5</v>
      </c>
      <c r="D22" s="200">
        <v>0</v>
      </c>
      <c r="E22" s="200">
        <v>0</v>
      </c>
      <c r="F22" s="268">
        <f t="shared" si="0"/>
        <v>0</v>
      </c>
      <c r="G22" s="200"/>
      <c r="H22" s="227">
        <f t="shared" si="3"/>
        <v>0</v>
      </c>
      <c r="I22" s="271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197"/>
      <c r="K22" s="208"/>
      <c r="L22" s="208"/>
      <c r="M22" s="208"/>
      <c r="N22" s="208"/>
      <c r="O22" s="207"/>
    </row>
    <row r="23" spans="1:15" s="210" customFormat="1" ht="11.25">
      <c r="A23" s="207"/>
      <c r="B23" s="198">
        <f t="shared" si="1"/>
        <v>43420</v>
      </c>
      <c r="C23" s="199">
        <f t="shared" si="2"/>
        <v>6</v>
      </c>
      <c r="D23" s="200">
        <v>0</v>
      </c>
      <c r="E23" s="200">
        <v>0</v>
      </c>
      <c r="F23" s="268">
        <f t="shared" si="0"/>
        <v>0</v>
      </c>
      <c r="G23" s="200"/>
      <c r="H23" s="227">
        <f t="shared" si="3"/>
        <v>0</v>
      </c>
      <c r="I23" s="271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197"/>
      <c r="K23" s="208"/>
      <c r="L23" s="208"/>
      <c r="M23" s="208"/>
      <c r="N23" s="208"/>
      <c r="O23" s="207"/>
    </row>
    <row r="24" spans="1:15" s="210" customFormat="1" ht="11.25">
      <c r="A24" s="207"/>
      <c r="B24" s="198">
        <f t="shared" si="1"/>
        <v>43421</v>
      </c>
      <c r="C24" s="199">
        <f t="shared" si="2"/>
        <v>7</v>
      </c>
      <c r="D24" s="200">
        <v>0</v>
      </c>
      <c r="E24" s="200">
        <v>0</v>
      </c>
      <c r="F24" s="268">
        <f t="shared" si="0"/>
        <v>0</v>
      </c>
      <c r="G24" s="200"/>
      <c r="H24" s="227">
        <f t="shared" si="3"/>
        <v>0</v>
      </c>
      <c r="I24" s="271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197"/>
      <c r="K24" s="208"/>
      <c r="L24" s="208"/>
      <c r="M24" s="208"/>
      <c r="N24" s="208"/>
      <c r="O24" s="207"/>
    </row>
    <row r="25" spans="1:15" s="210" customFormat="1" ht="11.25">
      <c r="A25" s="207"/>
      <c r="B25" s="198">
        <f t="shared" si="1"/>
        <v>43422</v>
      </c>
      <c r="C25" s="199">
        <f t="shared" si="2"/>
        <v>1</v>
      </c>
      <c r="D25" s="200">
        <v>0</v>
      </c>
      <c r="E25" s="200">
        <v>0</v>
      </c>
      <c r="F25" s="268">
        <f t="shared" si="0"/>
        <v>0</v>
      </c>
      <c r="G25" s="200"/>
      <c r="H25" s="227">
        <f t="shared" si="3"/>
        <v>0</v>
      </c>
      <c r="I25" s="271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197"/>
      <c r="K25" s="208"/>
      <c r="L25" s="208"/>
      <c r="M25" s="208"/>
      <c r="N25" s="208"/>
      <c r="O25" s="207"/>
    </row>
    <row r="26" spans="1:15" s="210" customFormat="1" ht="11.25">
      <c r="A26" s="207"/>
      <c r="B26" s="198">
        <f t="shared" si="1"/>
        <v>43423</v>
      </c>
      <c r="C26" s="199">
        <f t="shared" si="2"/>
        <v>2</v>
      </c>
      <c r="D26" s="200">
        <v>0</v>
      </c>
      <c r="E26" s="200">
        <v>0</v>
      </c>
      <c r="F26" s="268">
        <f t="shared" si="0"/>
        <v>0</v>
      </c>
      <c r="G26" s="200"/>
      <c r="H26" s="227">
        <f t="shared" si="3"/>
        <v>0</v>
      </c>
      <c r="I26" s="271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197"/>
      <c r="K26" s="208"/>
      <c r="L26" s="208"/>
      <c r="M26" s="208"/>
      <c r="N26" s="208"/>
      <c r="O26" s="207"/>
    </row>
    <row r="27" spans="1:15" s="210" customFormat="1" ht="11.25">
      <c r="A27" s="207"/>
      <c r="B27" s="198">
        <f t="shared" si="1"/>
        <v>43424</v>
      </c>
      <c r="C27" s="199">
        <f t="shared" si="2"/>
        <v>3</v>
      </c>
      <c r="D27" s="200">
        <v>0</v>
      </c>
      <c r="E27" s="200">
        <v>0</v>
      </c>
      <c r="F27" s="268">
        <f t="shared" si="0"/>
        <v>0</v>
      </c>
      <c r="G27" s="200"/>
      <c r="H27" s="227">
        <f t="shared" si="3"/>
        <v>0</v>
      </c>
      <c r="I27" s="271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197"/>
      <c r="K27" s="208"/>
      <c r="L27" s="208"/>
      <c r="M27" s="208"/>
      <c r="N27" s="208"/>
      <c r="O27" s="207"/>
    </row>
    <row r="28" spans="1:15" s="210" customFormat="1" ht="11.25">
      <c r="A28" s="207"/>
      <c r="B28" s="198">
        <f t="shared" si="1"/>
        <v>43425</v>
      </c>
      <c r="C28" s="199">
        <f t="shared" si="2"/>
        <v>4</v>
      </c>
      <c r="D28" s="200">
        <v>0</v>
      </c>
      <c r="E28" s="200">
        <v>0</v>
      </c>
      <c r="F28" s="268">
        <f t="shared" si="0"/>
        <v>0</v>
      </c>
      <c r="G28" s="200"/>
      <c r="H28" s="227">
        <f t="shared" si="3"/>
        <v>0</v>
      </c>
      <c r="I28" s="271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197"/>
      <c r="K28" s="208"/>
      <c r="L28" s="208"/>
      <c r="M28" s="208"/>
      <c r="N28" s="208"/>
      <c r="O28" s="207"/>
    </row>
    <row r="29" spans="1:15" s="210" customFormat="1" ht="11.25">
      <c r="A29" s="207"/>
      <c r="B29" s="198">
        <f t="shared" si="1"/>
        <v>43426</v>
      </c>
      <c r="C29" s="199">
        <f t="shared" si="2"/>
        <v>5</v>
      </c>
      <c r="D29" s="200">
        <v>0</v>
      </c>
      <c r="E29" s="200">
        <v>0</v>
      </c>
      <c r="F29" s="268">
        <f t="shared" si="0"/>
        <v>0</v>
      </c>
      <c r="G29" s="200"/>
      <c r="H29" s="227">
        <f t="shared" si="3"/>
        <v>0</v>
      </c>
      <c r="I29" s="271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197"/>
      <c r="K29" s="208"/>
      <c r="L29" s="208"/>
      <c r="M29" s="208"/>
      <c r="N29" s="208"/>
      <c r="O29" s="207"/>
    </row>
    <row r="30" spans="1:15" s="210" customFormat="1" ht="11.25">
      <c r="A30" s="207"/>
      <c r="B30" s="198">
        <f t="shared" si="1"/>
        <v>43427</v>
      </c>
      <c r="C30" s="199">
        <f t="shared" si="2"/>
        <v>6</v>
      </c>
      <c r="D30" s="200">
        <v>0</v>
      </c>
      <c r="E30" s="200">
        <v>0</v>
      </c>
      <c r="F30" s="268">
        <f t="shared" si="0"/>
        <v>0</v>
      </c>
      <c r="G30" s="200"/>
      <c r="H30" s="227">
        <f t="shared" si="3"/>
        <v>0</v>
      </c>
      <c r="I30" s="271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197"/>
      <c r="K30" s="208"/>
      <c r="L30" s="208"/>
      <c r="M30" s="208"/>
      <c r="N30" s="208"/>
      <c r="O30" s="207"/>
    </row>
    <row r="31" spans="1:15" s="210" customFormat="1" ht="11.25">
      <c r="A31" s="207"/>
      <c r="B31" s="198">
        <f t="shared" si="1"/>
        <v>43428</v>
      </c>
      <c r="C31" s="199">
        <f t="shared" si="2"/>
        <v>7</v>
      </c>
      <c r="D31" s="200">
        <v>0</v>
      </c>
      <c r="E31" s="200">
        <v>0</v>
      </c>
      <c r="F31" s="268">
        <f t="shared" si="0"/>
        <v>0</v>
      </c>
      <c r="G31" s="200"/>
      <c r="H31" s="227">
        <f t="shared" si="3"/>
        <v>0</v>
      </c>
      <c r="I31" s="271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197"/>
      <c r="K31" s="208"/>
      <c r="L31" s="208"/>
      <c r="M31" s="208"/>
      <c r="N31" s="208"/>
      <c r="O31" s="207"/>
    </row>
    <row r="32" spans="1:15" s="210" customFormat="1" ht="11.25">
      <c r="A32" s="207"/>
      <c r="B32" s="198">
        <f t="shared" si="1"/>
        <v>43429</v>
      </c>
      <c r="C32" s="199">
        <f t="shared" si="2"/>
        <v>1</v>
      </c>
      <c r="D32" s="200">
        <v>0</v>
      </c>
      <c r="E32" s="200">
        <v>0</v>
      </c>
      <c r="F32" s="268">
        <f t="shared" si="0"/>
        <v>0</v>
      </c>
      <c r="G32" s="200"/>
      <c r="H32" s="227">
        <f t="shared" si="3"/>
        <v>0</v>
      </c>
      <c r="I32" s="271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197"/>
      <c r="K32" s="208"/>
      <c r="L32" s="208"/>
      <c r="M32" s="208"/>
      <c r="N32" s="208"/>
      <c r="O32" s="207"/>
    </row>
    <row r="33" spans="1:15" s="210" customFormat="1" ht="11.25">
      <c r="A33" s="207"/>
      <c r="B33" s="198">
        <f t="shared" si="1"/>
        <v>43430</v>
      </c>
      <c r="C33" s="199">
        <f t="shared" si="2"/>
        <v>2</v>
      </c>
      <c r="D33" s="200">
        <v>0</v>
      </c>
      <c r="E33" s="200">
        <v>0</v>
      </c>
      <c r="F33" s="268">
        <f t="shared" si="0"/>
        <v>0</v>
      </c>
      <c r="G33" s="200"/>
      <c r="H33" s="227">
        <f t="shared" si="3"/>
        <v>0</v>
      </c>
      <c r="I33" s="271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197"/>
      <c r="K33" s="208"/>
      <c r="L33" s="208"/>
      <c r="M33" s="208"/>
      <c r="N33" s="208"/>
      <c r="O33" s="207"/>
    </row>
    <row r="34" spans="1:15" s="210" customFormat="1" ht="11.25">
      <c r="A34" s="207"/>
      <c r="B34" s="198">
        <f t="shared" si="1"/>
        <v>43431</v>
      </c>
      <c r="C34" s="199">
        <f t="shared" si="2"/>
        <v>3</v>
      </c>
      <c r="D34" s="200">
        <v>0</v>
      </c>
      <c r="E34" s="200">
        <v>0</v>
      </c>
      <c r="F34" s="268">
        <f t="shared" si="0"/>
        <v>0</v>
      </c>
      <c r="G34" s="200"/>
      <c r="H34" s="227">
        <f t="shared" si="3"/>
        <v>0</v>
      </c>
      <c r="I34" s="271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197"/>
      <c r="K34" s="208"/>
      <c r="L34" s="208"/>
      <c r="M34" s="208"/>
      <c r="N34" s="208"/>
      <c r="O34" s="207"/>
    </row>
    <row r="35" spans="1:15" s="210" customFormat="1" ht="11.25">
      <c r="A35" s="207"/>
      <c r="B35" s="198">
        <f t="shared" si="1"/>
        <v>43432</v>
      </c>
      <c r="C35" s="199">
        <f t="shared" si="2"/>
        <v>4</v>
      </c>
      <c r="D35" s="200">
        <v>0</v>
      </c>
      <c r="E35" s="200">
        <v>0</v>
      </c>
      <c r="F35" s="268">
        <f t="shared" si="0"/>
        <v>0</v>
      </c>
      <c r="G35" s="200"/>
      <c r="H35" s="227">
        <f t="shared" si="3"/>
        <v>0</v>
      </c>
      <c r="I35" s="271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197"/>
      <c r="K35" s="208"/>
      <c r="L35" s="208"/>
      <c r="M35" s="208"/>
      <c r="N35" s="208"/>
      <c r="O35" s="207"/>
    </row>
    <row r="36" spans="1:15" s="210" customFormat="1" ht="11.25">
      <c r="A36" s="207"/>
      <c r="B36" s="198">
        <f t="shared" si="1"/>
        <v>43433</v>
      </c>
      <c r="C36" s="199">
        <f t="shared" si="2"/>
        <v>5</v>
      </c>
      <c r="D36" s="200">
        <v>0</v>
      </c>
      <c r="E36" s="200">
        <v>0</v>
      </c>
      <c r="F36" s="268">
        <f t="shared" si="0"/>
        <v>0</v>
      </c>
      <c r="G36" s="200"/>
      <c r="H36" s="227">
        <f t="shared" si="3"/>
        <v>0</v>
      </c>
      <c r="I36" s="271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197"/>
      <c r="K36" s="208"/>
      <c r="L36" s="208"/>
      <c r="M36" s="208"/>
      <c r="N36" s="208"/>
      <c r="O36" s="207"/>
    </row>
    <row r="37" spans="1:15" s="210" customFormat="1" ht="11.25">
      <c r="A37" s="207"/>
      <c r="B37" s="198">
        <f t="shared" si="1"/>
        <v>43434</v>
      </c>
      <c r="C37" s="199">
        <f t="shared" si="2"/>
        <v>6</v>
      </c>
      <c r="D37" s="200">
        <v>0</v>
      </c>
      <c r="E37" s="200">
        <v>0</v>
      </c>
      <c r="F37" s="268">
        <f t="shared" si="0"/>
        <v>0</v>
      </c>
      <c r="G37" s="200"/>
      <c r="H37" s="227">
        <f t="shared" si="3"/>
        <v>0</v>
      </c>
      <c r="I37" s="271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197"/>
      <c r="K37" s="208"/>
      <c r="L37" s="208"/>
      <c r="M37" s="208"/>
      <c r="N37" s="208"/>
      <c r="O37" s="207"/>
    </row>
    <row r="38" spans="1:15" s="210" customFormat="1" ht="11.25" customHeight="1">
      <c r="A38" s="207"/>
      <c r="B38" s="198"/>
      <c r="C38" s="199"/>
      <c r="D38" s="200"/>
      <c r="E38" s="200"/>
      <c r="F38" s="201"/>
      <c r="G38" s="200"/>
      <c r="H38" s="203"/>
      <c r="I38" s="196"/>
      <c r="J38" s="244"/>
      <c r="K38" s="208"/>
      <c r="L38" s="208"/>
      <c r="M38" s="208"/>
      <c r="N38" s="208"/>
      <c r="O38" s="207"/>
    </row>
    <row r="39" spans="1:15" s="210" customFormat="1" ht="11.25" customHeight="1">
      <c r="A39" s="211"/>
      <c r="B39" s="188"/>
      <c r="C39" s="188"/>
      <c r="D39" s="577" t="s">
        <v>88</v>
      </c>
      <c r="E39" s="578"/>
      <c r="F39" s="270">
        <f>SUM(F7:F38)</f>
        <v>0</v>
      </c>
      <c r="G39" s="281"/>
      <c r="H39" s="270">
        <f>SUM(H8:H38)</f>
        <v>0</v>
      </c>
      <c r="I39" s="272">
        <f>SUM(I8:I38)</f>
        <v>0</v>
      </c>
      <c r="J39" s="244"/>
      <c r="K39" s="208"/>
      <c r="L39" s="208"/>
      <c r="M39" s="208"/>
      <c r="N39" s="208"/>
      <c r="O39" s="207"/>
    </row>
    <row r="40" spans="1:15" s="210" customFormat="1" ht="11.25" customHeight="1">
      <c r="A40" s="211"/>
      <c r="B40" s="188"/>
      <c r="C40" s="657" t="s">
        <v>318</v>
      </c>
      <c r="D40" s="657"/>
      <c r="E40" s="658"/>
      <c r="F40" s="576">
        <f>SUM(H39,PRODUCT(SUM(J40,J42,J32),Stammdaten!H28))</f>
        <v>0</v>
      </c>
      <c r="G40" s="664" t="s">
        <v>90</v>
      </c>
      <c r="H40" s="665"/>
      <c r="I40" s="666"/>
      <c r="J40" s="204">
        <f>COUNTIF(J8:J38,"u")</f>
        <v>0</v>
      </c>
      <c r="K40" s="208"/>
      <c r="L40" s="208"/>
      <c r="M40" s="208"/>
      <c r="N40" s="208"/>
      <c r="O40" s="207"/>
    </row>
    <row r="41" spans="1:15" s="210" customFormat="1" ht="11.25">
      <c r="A41" s="211"/>
      <c r="B41" s="188"/>
      <c r="C41" s="659" t="s">
        <v>117</v>
      </c>
      <c r="D41" s="659"/>
      <c r="E41" s="660"/>
      <c r="F41" s="282">
        <v>0</v>
      </c>
      <c r="G41" s="650" t="s">
        <v>115</v>
      </c>
      <c r="H41" s="651"/>
      <c r="I41" s="652"/>
      <c r="J41" s="205">
        <f>Okt!J41-J40</f>
        <v>25</v>
      </c>
      <c r="K41" s="208"/>
      <c r="L41" s="208"/>
      <c r="M41" s="208"/>
      <c r="N41" s="208"/>
      <c r="O41" s="207"/>
    </row>
    <row r="42" spans="1:15" s="210" customFormat="1" ht="11.25">
      <c r="A42" s="211"/>
      <c r="B42" s="188"/>
      <c r="C42" s="615" t="s">
        <v>121</v>
      </c>
      <c r="D42" s="615"/>
      <c r="E42" s="661"/>
      <c r="F42" s="283">
        <v>0</v>
      </c>
      <c r="G42" s="664" t="s">
        <v>91</v>
      </c>
      <c r="H42" s="665"/>
      <c r="I42" s="666"/>
      <c r="J42" s="206">
        <f>COUNTIF(J8:J38,"k")</f>
        <v>0</v>
      </c>
      <c r="K42" s="193"/>
      <c r="L42" s="212"/>
      <c r="M42" s="197">
        <f>COUNTIF(M8:M38,"k")</f>
        <v>0</v>
      </c>
      <c r="N42" s="208"/>
      <c r="O42" s="207"/>
    </row>
    <row r="43" spans="1:15" s="210" customFormat="1" ht="11.25">
      <c r="A43" s="211"/>
      <c r="B43" s="188"/>
      <c r="C43" s="662" t="s">
        <v>122</v>
      </c>
      <c r="D43" s="662"/>
      <c r="E43" s="663"/>
      <c r="F43" s="284">
        <v>0</v>
      </c>
      <c r="G43" s="664" t="s">
        <v>116</v>
      </c>
      <c r="H43" s="640"/>
      <c r="I43" s="640"/>
      <c r="J43" s="197">
        <f>COUNTIF(J8:J38,"nu")</f>
        <v>0</v>
      </c>
      <c r="K43" s="208"/>
      <c r="L43" s="208"/>
      <c r="M43" s="208"/>
      <c r="N43" s="208"/>
      <c r="O43" s="207"/>
    </row>
    <row r="44" spans="1:15" s="210" customFormat="1" ht="12.75">
      <c r="A44" s="211"/>
      <c r="B44" s="188"/>
      <c r="C44" s="615" t="str">
        <f>Stammdaten!$F$23</f>
        <v>Sonderschicht I</v>
      </c>
      <c r="D44" s="615"/>
      <c r="E44" s="661"/>
      <c r="F44" s="283">
        <v>0</v>
      </c>
      <c r="H44" s="81"/>
      <c r="I44" s="5"/>
      <c r="J44" s="5"/>
      <c r="K44" s="208"/>
      <c r="L44" s="208"/>
      <c r="M44" s="208"/>
      <c r="N44" s="208"/>
      <c r="O44" s="207"/>
    </row>
    <row r="45" spans="1:15" s="210" customFormat="1" ht="11.25">
      <c r="A45" s="211"/>
      <c r="B45" s="188"/>
      <c r="C45" s="615" t="str">
        <f>Stammdaten!$G$24</f>
        <v>Sonderschicht II</v>
      </c>
      <c r="D45" s="615"/>
      <c r="E45" s="661"/>
      <c r="F45" s="283">
        <v>0</v>
      </c>
      <c r="G45" s="193"/>
      <c r="H45" s="485"/>
      <c r="I45" s="492"/>
      <c r="J45" s="211"/>
      <c r="K45" s="208"/>
      <c r="L45" s="208"/>
      <c r="M45" s="208"/>
      <c r="N45" s="208"/>
      <c r="O45" s="207"/>
    </row>
    <row r="46" spans="1:14" ht="11.25" customHeight="1">
      <c r="A46" s="165"/>
      <c r="B46" s="182"/>
      <c r="C46" s="653" t="s">
        <v>183</v>
      </c>
      <c r="D46" s="653"/>
      <c r="E46" s="654"/>
      <c r="F46" s="274">
        <f>$I$39</f>
        <v>0</v>
      </c>
      <c r="G46" s="183"/>
      <c r="H46" s="81"/>
      <c r="I46" s="5"/>
      <c r="J46" s="5"/>
      <c r="K46" s="77"/>
      <c r="L46" s="65"/>
      <c r="M46" s="65"/>
      <c r="N46" s="65"/>
    </row>
    <row r="47" spans="2:12" ht="12.75">
      <c r="B47" s="182"/>
      <c r="C47" s="655" t="s">
        <v>33</v>
      </c>
      <c r="D47" s="655"/>
      <c r="E47" s="656"/>
      <c r="F47" s="564">
        <f>Arbeitszeitübersicht!D8/24</f>
        <v>0.4791666666666667</v>
      </c>
      <c r="G47" s="222"/>
      <c r="H47" s="81"/>
      <c r="I47" s="5"/>
      <c r="J47" s="5"/>
      <c r="K47" s="5"/>
      <c r="L47" s="4"/>
    </row>
    <row r="48" spans="2:14" ht="12.75">
      <c r="B48" s="4"/>
      <c r="C48" s="4"/>
      <c r="D48" s="4"/>
      <c r="E48" s="4"/>
      <c r="F48" s="4"/>
      <c r="H48" s="4"/>
      <c r="I48" s="102"/>
      <c r="J48" s="11"/>
      <c r="K48" s="11"/>
      <c r="L48" s="5"/>
      <c r="N48" s="101"/>
    </row>
    <row r="49" spans="2:12" ht="12.75">
      <c r="B49" s="5"/>
      <c r="C49" s="665"/>
      <c r="D49" s="665"/>
      <c r="E49" s="459" t="s">
        <v>251</v>
      </c>
      <c r="F49" s="460"/>
      <c r="G49" s="457"/>
      <c r="H49" s="458"/>
      <c r="I49" s="457"/>
      <c r="J49" s="457"/>
      <c r="K49" s="5"/>
      <c r="L49" s="4"/>
    </row>
    <row r="50" spans="2:12" ht="12.75">
      <c r="B50" s="5"/>
      <c r="C50" s="193"/>
      <c r="D50" s="193"/>
      <c r="E50" s="459"/>
      <c r="F50" s="459"/>
      <c r="G50" s="461"/>
      <c r="H50" s="65"/>
      <c r="I50" s="461"/>
      <c r="J50" s="461"/>
      <c r="K50" s="5"/>
      <c r="L50" s="4"/>
    </row>
    <row r="51" spans="2:13" ht="12.75">
      <c r="B51" s="4"/>
      <c r="C51" s="4"/>
      <c r="D51" s="5"/>
      <c r="E51" s="13"/>
      <c r="F51" s="669"/>
      <c r="G51" s="670"/>
      <c r="H51" s="670"/>
      <c r="I51" s="100"/>
      <c r="J51" s="100"/>
      <c r="K51" s="5"/>
      <c r="L51" s="5"/>
      <c r="M51" s="101"/>
    </row>
    <row r="52" spans="2:14" ht="12.75">
      <c r="B52" s="4"/>
      <c r="C52" s="4"/>
      <c r="D52" s="4"/>
      <c r="E52" s="5"/>
      <c r="F52" s="669"/>
      <c r="G52" s="670"/>
      <c r="H52" s="670"/>
      <c r="I52" s="81"/>
      <c r="J52" s="5"/>
      <c r="K52" s="5"/>
      <c r="L52" s="5"/>
      <c r="M52" s="101"/>
      <c r="N52" s="101"/>
    </row>
    <row r="53" spans="2:14" ht="12.75">
      <c r="B53" s="4"/>
      <c r="C53" s="4"/>
      <c r="D53" s="4"/>
      <c r="E53" s="4"/>
      <c r="F53" s="4"/>
      <c r="H53" s="4"/>
      <c r="I53" s="102"/>
      <c r="J53" s="11"/>
      <c r="K53" s="11"/>
      <c r="L53" s="5"/>
      <c r="N53" s="101"/>
    </row>
    <row r="54" spans="2:12" ht="0.75" customHeight="1">
      <c r="B54" s="4"/>
      <c r="C54" s="4"/>
      <c r="D54" s="4"/>
      <c r="E54" s="4"/>
      <c r="F54" s="4"/>
      <c r="H54" s="102"/>
      <c r="I54" s="11"/>
      <c r="J54" s="11"/>
      <c r="K54" s="5"/>
      <c r="L54" s="4"/>
    </row>
    <row r="55" spans="2:12" ht="12.75" customHeight="1" hidden="1">
      <c r="B55" s="4"/>
      <c r="C55" s="4"/>
      <c r="D55" s="4"/>
      <c r="E55" s="5"/>
      <c r="F55" s="5"/>
      <c r="G55" s="5"/>
      <c r="H55" s="102"/>
      <c r="I55" s="11"/>
      <c r="J55" s="5"/>
      <c r="K55" s="5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5"/>
      <c r="D57" s="5"/>
      <c r="E57" s="11"/>
      <c r="F57" s="13"/>
      <c r="G57" s="13"/>
      <c r="H57" s="81"/>
      <c r="I57" s="4"/>
      <c r="J57" s="4"/>
      <c r="K57" s="4"/>
      <c r="L57" s="4"/>
    </row>
    <row r="58" spans="2:12" ht="12.75" hidden="1">
      <c r="B58" s="4"/>
      <c r="C58" s="5"/>
      <c r="D58" s="5"/>
      <c r="E58" s="5"/>
      <c r="F58" s="5"/>
      <c r="G58" s="5"/>
      <c r="H58" s="5"/>
      <c r="I58" s="5"/>
      <c r="J58" s="5"/>
      <c r="K58" s="4"/>
      <c r="L58" s="4"/>
    </row>
    <row r="59" spans="2:12" ht="12.75" hidden="1">
      <c r="B59" s="4"/>
      <c r="C59" s="4"/>
      <c r="D59" s="4"/>
      <c r="E59" s="4"/>
      <c r="F59" s="4"/>
      <c r="H59" s="4"/>
      <c r="I59" s="5"/>
      <c r="J59" s="5"/>
      <c r="K59" s="4"/>
      <c r="L59" s="4"/>
    </row>
    <row r="60" spans="2:12" ht="15.75" customHeight="1" hidden="1">
      <c r="B60" s="4"/>
      <c r="C60" s="4"/>
      <c r="D60" s="4"/>
      <c r="E60" s="4"/>
      <c r="F60" s="4"/>
      <c r="H60" s="4"/>
      <c r="I60" s="4"/>
      <c r="J60" s="4"/>
      <c r="L60" s="4"/>
    </row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</sheetData>
  <sheetProtection/>
  <mergeCells count="18">
    <mergeCell ref="C46:E46"/>
    <mergeCell ref="G43:I43"/>
    <mergeCell ref="F51:H51"/>
    <mergeCell ref="F52:H52"/>
    <mergeCell ref="C49:D49"/>
    <mergeCell ref="C47:E47"/>
    <mergeCell ref="G42:I42"/>
    <mergeCell ref="C42:E42"/>
    <mergeCell ref="C43:E43"/>
    <mergeCell ref="C44:E44"/>
    <mergeCell ref="C45:E45"/>
    <mergeCell ref="B7:C7"/>
    <mergeCell ref="B4:C4"/>
    <mergeCell ref="J2:J6"/>
    <mergeCell ref="G41:I41"/>
    <mergeCell ref="C40:E40"/>
    <mergeCell ref="G40:I40"/>
    <mergeCell ref="C41:E41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9:B18 B32:B36 B38">
    <cfRule type="expression" priority="3" dxfId="0" stopIfTrue="1">
      <formula>WEEKDAY($B9)=1</formula>
    </cfRule>
    <cfRule type="expression" priority="4" dxfId="1" stopIfTrue="1">
      <formula>WEEKDAY($B9)=7</formula>
    </cfRule>
  </conditionalFormatting>
  <conditionalFormatting sqref="C9:C18 C30:C38">
    <cfRule type="expression" priority="5" dxfId="0" stopIfTrue="1">
      <formula>WEEKDAY($B9)=1</formula>
    </cfRule>
    <cfRule type="expression" priority="6" dxfId="1" stopIfTrue="1">
      <formula>WEEKDAY($B9)=7</formula>
    </cfRule>
  </conditionalFormatting>
  <conditionalFormatting sqref="H38 G9:G20 D9:E18 F38 G30:G38 D30:D38 E32:E38">
    <cfRule type="expression" priority="7" dxfId="1" stopIfTrue="1">
      <formula>WEEKDAY($B9)=7</formula>
    </cfRule>
    <cfRule type="expression" priority="8" dxfId="0" stopIfTrue="1">
      <formula>WEEKDAY($B9)=1</formula>
    </cfRule>
  </conditionalFormatting>
  <conditionalFormatting sqref="B23 B19:B21 B25:B27 B30:B31">
    <cfRule type="expression" priority="9" dxfId="10" stopIfTrue="1">
      <formula>$C$5=$B19</formula>
    </cfRule>
    <cfRule type="expression" priority="10" dxfId="0" stopIfTrue="1">
      <formula>WEEKDAY($B19)=1</formula>
    </cfRule>
    <cfRule type="expression" priority="11" dxfId="1" stopIfTrue="1">
      <formula>WEEKDAY($B19)=7</formula>
    </cfRule>
  </conditionalFormatting>
  <conditionalFormatting sqref="C19:C29">
    <cfRule type="expression" priority="12" dxfId="10" stopIfTrue="1">
      <formula>$C$5=$B19</formula>
    </cfRule>
    <cfRule type="expression" priority="13" dxfId="0" stopIfTrue="1">
      <formula>WEEKDAY($B19)=1</formula>
    </cfRule>
    <cfRule type="expression" priority="14" dxfId="1" stopIfTrue="1">
      <formula>WEEKDAY($B19)=7</formula>
    </cfRule>
  </conditionalFormatting>
  <conditionalFormatting sqref="G21:G29 D20:D29">
    <cfRule type="expression" priority="15" dxfId="10" stopIfTrue="1">
      <formula>$C$5=$B20</formula>
    </cfRule>
    <cfRule type="expression" priority="16" dxfId="1" stopIfTrue="1">
      <formula>WEEKDAY($B20)=7</formula>
    </cfRule>
    <cfRule type="expression" priority="17" dxfId="0" stopIfTrue="1">
      <formula>WEEKDAY($B20)=1</formula>
    </cfRule>
  </conditionalFormatting>
  <conditionalFormatting sqref="B8 F8">
    <cfRule type="expression" priority="18" dxfId="10" stopIfTrue="1">
      <formula>$D$5=1</formula>
    </cfRule>
    <cfRule type="expression" priority="19" dxfId="0" stopIfTrue="1">
      <formula>WEEKDAY($B8)=1</formula>
    </cfRule>
    <cfRule type="expression" priority="20" dxfId="1" stopIfTrue="1">
      <formula>WEEKDAY($B8)=7</formula>
    </cfRule>
  </conditionalFormatting>
  <conditionalFormatting sqref="C8:E8 G8:H8">
    <cfRule type="expression" priority="21" dxfId="29" stopIfTrue="1">
      <formula>$D$5=1</formula>
    </cfRule>
    <cfRule type="expression" priority="22" dxfId="1" stopIfTrue="1">
      <formula>WEEKDAY($B8)=7</formula>
    </cfRule>
    <cfRule type="expression" priority="23" dxfId="0" stopIfTrue="1">
      <formula>WEEKDAY($B8)=1</formula>
    </cfRule>
  </conditionalFormatting>
  <conditionalFormatting sqref="B37 F9:F18 F32:F37">
    <cfRule type="expression" priority="24" dxfId="0" stopIfTrue="1">
      <formula>WEEKDAY($B9)=1</formula>
    </cfRule>
    <cfRule type="expression" priority="25" dxfId="1" stopIfTrue="1">
      <formula>WEEKDAY($B9)=7</formula>
    </cfRule>
  </conditionalFormatting>
  <conditionalFormatting sqref="H9:H18 H32:H37">
    <cfRule type="expression" priority="26" dxfId="1" stopIfTrue="1">
      <formula>WEEKDAY($B9)=7</formula>
    </cfRule>
    <cfRule type="expression" priority="27" dxfId="0" stopIfTrue="1">
      <formula>WEEKDAY($B9)=1</formula>
    </cfRule>
  </conditionalFormatting>
  <conditionalFormatting sqref="B24">
    <cfRule type="expression" priority="28" dxfId="10" stopIfTrue="1">
      <formula>$C$5=$B24</formula>
    </cfRule>
    <cfRule type="expression" priority="29" dxfId="0" stopIfTrue="1">
      <formula>WEEKDAY($B24)=1</formula>
    </cfRule>
    <cfRule type="expression" priority="30" dxfId="1" stopIfTrue="1">
      <formula>WEEKDAY($B24)=7</formula>
    </cfRule>
  </conditionalFormatting>
  <conditionalFormatting sqref="B22 B28:B29">
    <cfRule type="expression" priority="31" dxfId="10" stopIfTrue="1">
      <formula>$C$5=$B22</formula>
    </cfRule>
    <cfRule type="expression" priority="32" dxfId="0" stopIfTrue="1">
      <formula>WEEKDAY($B22)=1</formula>
    </cfRule>
    <cfRule type="expression" priority="33" dxfId="1" stopIfTrue="1">
      <formula>WEEKDAY($B22)=7</formula>
    </cfRule>
  </conditionalFormatting>
  <conditionalFormatting sqref="D19:E19 E20:E31">
    <cfRule type="expression" priority="34" dxfId="10" stopIfTrue="1">
      <formula>$C$5=$B19</formula>
    </cfRule>
    <cfRule type="expression" priority="35" dxfId="1" stopIfTrue="1">
      <formula>WEEKDAY($B19)=7</formula>
    </cfRule>
    <cfRule type="expression" priority="36" dxfId="0" stopIfTrue="1">
      <formula>WEEKDAY($B19)=1</formula>
    </cfRule>
  </conditionalFormatting>
  <conditionalFormatting sqref="F19:F31">
    <cfRule type="expression" priority="37" dxfId="10" stopIfTrue="1">
      <formula>$C$5=$B19</formula>
    </cfRule>
    <cfRule type="expression" priority="38" dxfId="1" stopIfTrue="1">
      <formula>WEEKDAY($B19)=7</formula>
    </cfRule>
    <cfRule type="expression" priority="39" dxfId="0" stopIfTrue="1">
      <formula>WEEKDAY($B19)=1</formula>
    </cfRule>
  </conditionalFormatting>
  <conditionalFormatting sqref="H19:H31">
    <cfRule type="expression" priority="40" dxfId="10" stopIfTrue="1">
      <formula>$C$5=$B19</formula>
    </cfRule>
    <cfRule type="expression" priority="41" dxfId="0" stopIfTrue="1">
      <formula>WEEKDAY($B19)=1</formula>
    </cfRule>
    <cfRule type="expression" priority="42" dxfId="1" stopIfTrue="1">
      <formula>WEEKDAY($B19)=7</formula>
    </cfRule>
  </conditionalFormatting>
  <dataValidations count="1">
    <dataValidation type="list" allowBlank="1" showInputMessage="1" showErrorMessage="1" sqref="J8:J37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9"/>
  <dimension ref="A1:O60"/>
  <sheetViews>
    <sheetView defaultGridColor="0" zoomScalePageLayoutView="0" colorId="22" workbookViewId="0" topLeftCell="A1">
      <selection activeCell="I45" sqref="I45"/>
    </sheetView>
  </sheetViews>
  <sheetFormatPr defaultColWidth="0" defaultRowHeight="15.75" customHeight="1" zeroHeight="1"/>
  <cols>
    <col min="1" max="1" width="3.57421875" style="4" customWidth="1"/>
    <col min="2" max="2" width="7.00390625" style="0" customWidth="1"/>
    <col min="3" max="3" width="3.421875" style="0" customWidth="1"/>
    <col min="4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3"/>
      <c r="L1" s="14"/>
      <c r="M1" s="14"/>
      <c r="N1" s="14"/>
    </row>
    <row r="2" spans="2:14" ht="15">
      <c r="B2" s="446" t="str">
        <f>"Arbeitszeitachweis Dezember "&amp;gewJahr</f>
        <v>Arbeitszeitachweis Dezember 2018</v>
      </c>
      <c r="C2" s="447"/>
      <c r="D2" s="447"/>
      <c r="E2" s="447"/>
      <c r="F2" s="447"/>
      <c r="G2" s="446"/>
      <c r="H2" s="446"/>
      <c r="I2" s="446"/>
      <c r="J2" s="667" t="s">
        <v>92</v>
      </c>
      <c r="K2" s="13"/>
      <c r="L2" s="63"/>
      <c r="M2" s="14"/>
      <c r="N2" s="14"/>
    </row>
    <row r="3" spans="2:14" ht="13.5" customHeight="1">
      <c r="B3" s="484" t="s">
        <v>124</v>
      </c>
      <c r="C3" s="456" t="str">
        <f>Stammdaten!$B$6</f>
        <v>Mustermann, Hans</v>
      </c>
      <c r="D3" s="449"/>
      <c r="E3" s="449"/>
      <c r="F3" s="450"/>
      <c r="G3" s="450"/>
      <c r="H3" s="445"/>
      <c r="I3" s="451"/>
      <c r="J3" s="643"/>
      <c r="K3" s="14"/>
      <c r="L3" s="13"/>
      <c r="M3" s="13"/>
      <c r="N3" s="13"/>
    </row>
    <row r="4" spans="2:14" ht="0.75" customHeight="1">
      <c r="B4" s="674"/>
      <c r="C4" s="674"/>
      <c r="D4" s="448"/>
      <c r="E4" s="449"/>
      <c r="F4" s="449"/>
      <c r="G4" s="450"/>
      <c r="H4" s="14"/>
      <c r="I4" s="14"/>
      <c r="J4" s="643"/>
      <c r="K4" s="4"/>
      <c r="L4" s="14"/>
      <c r="M4" s="14"/>
      <c r="N4" s="14"/>
    </row>
    <row r="5" spans="2:12" ht="21" customHeight="1" hidden="1">
      <c r="B5" s="4"/>
      <c r="C5" s="66"/>
      <c r="D5" s="4"/>
      <c r="E5" s="4"/>
      <c r="F5" s="4"/>
      <c r="H5" s="4"/>
      <c r="I5" s="4"/>
      <c r="J5" s="643"/>
      <c r="K5" s="5"/>
      <c r="L5" s="4"/>
    </row>
    <row r="6" spans="2:14" ht="15" customHeight="1">
      <c r="B6" s="80"/>
      <c r="C6" s="43"/>
      <c r="D6" s="43"/>
      <c r="E6" s="43"/>
      <c r="F6" s="43"/>
      <c r="G6" s="43"/>
      <c r="H6" s="43"/>
      <c r="I6" s="43"/>
      <c r="J6" s="668"/>
      <c r="K6" s="78"/>
      <c r="L6" s="5"/>
      <c r="M6" s="5"/>
      <c r="N6" s="5"/>
    </row>
    <row r="7" spans="1:15" s="210" customFormat="1" ht="27" customHeight="1">
      <c r="A7" s="207"/>
      <c r="B7" s="648" t="s">
        <v>38</v>
      </c>
      <c r="C7" s="649"/>
      <c r="D7" s="453" t="s">
        <v>247</v>
      </c>
      <c r="E7" s="454" t="s">
        <v>248</v>
      </c>
      <c r="F7" s="455" t="s">
        <v>249</v>
      </c>
      <c r="G7" s="455" t="s">
        <v>250</v>
      </c>
      <c r="H7" s="177" t="s">
        <v>65</v>
      </c>
      <c r="I7" s="178" t="s">
        <v>39</v>
      </c>
      <c r="J7" s="179" t="s">
        <v>89</v>
      </c>
      <c r="K7" s="209"/>
      <c r="L7" s="213"/>
      <c r="M7" s="213"/>
      <c r="N7" s="213"/>
      <c r="O7" s="207"/>
    </row>
    <row r="8" spans="1:15" s="210" customFormat="1" ht="11.25">
      <c r="A8" s="207"/>
      <c r="B8" s="198">
        <f>DATE(gewJahr,12,1)</f>
        <v>43435</v>
      </c>
      <c r="C8" s="199">
        <f aca="true" t="shared" si="0" ref="C8:C38">WEEKDAY(B8)</f>
        <v>7</v>
      </c>
      <c r="D8" s="200">
        <v>0</v>
      </c>
      <c r="E8" s="200">
        <v>0</v>
      </c>
      <c r="F8" s="268">
        <f aca="true" t="shared" si="1" ref="F8:F38">MAX(IF(D8&lt;=E8,E8-D8,"24:00"-D8+E8)-G8,0)</f>
        <v>0</v>
      </c>
      <c r="G8" s="200"/>
      <c r="H8" s="269">
        <f aca="true" t="shared" si="2" ref="H8:H38">F8-I8</f>
        <v>0</v>
      </c>
      <c r="I8" s="271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197"/>
      <c r="K8" s="208"/>
      <c r="L8" s="209"/>
      <c r="M8" s="209"/>
      <c r="N8" s="209"/>
      <c r="O8" s="207"/>
    </row>
    <row r="9" spans="1:15" s="210" customFormat="1" ht="11.25">
      <c r="A9" s="207"/>
      <c r="B9" s="198">
        <f aca="true" t="shared" si="3" ref="B9:B38">B8+1</f>
        <v>43436</v>
      </c>
      <c r="C9" s="199">
        <f t="shared" si="0"/>
        <v>1</v>
      </c>
      <c r="D9" s="200">
        <v>0</v>
      </c>
      <c r="E9" s="200">
        <v>0</v>
      </c>
      <c r="F9" s="268">
        <f t="shared" si="1"/>
        <v>0</v>
      </c>
      <c r="G9" s="200"/>
      <c r="H9" s="269">
        <f t="shared" si="2"/>
        <v>0</v>
      </c>
      <c r="I9" s="271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197"/>
      <c r="K9" s="208"/>
      <c r="L9" s="208"/>
      <c r="M9" s="208"/>
      <c r="N9" s="208"/>
      <c r="O9" s="207"/>
    </row>
    <row r="10" spans="1:15" s="210" customFormat="1" ht="11.25">
      <c r="A10" s="207"/>
      <c r="B10" s="198">
        <f t="shared" si="3"/>
        <v>43437</v>
      </c>
      <c r="C10" s="199">
        <f t="shared" si="0"/>
        <v>2</v>
      </c>
      <c r="D10" s="200">
        <v>0</v>
      </c>
      <c r="E10" s="200">
        <v>0</v>
      </c>
      <c r="F10" s="268">
        <f t="shared" si="1"/>
        <v>0</v>
      </c>
      <c r="G10" s="200"/>
      <c r="H10" s="269">
        <f t="shared" si="2"/>
        <v>0</v>
      </c>
      <c r="I10" s="271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197"/>
      <c r="K10" s="208"/>
      <c r="L10" s="208"/>
      <c r="M10" s="208"/>
      <c r="N10" s="208"/>
      <c r="O10" s="207"/>
    </row>
    <row r="11" spans="1:15" s="210" customFormat="1" ht="11.25">
      <c r="A11" s="207"/>
      <c r="B11" s="198">
        <f t="shared" si="3"/>
        <v>43438</v>
      </c>
      <c r="C11" s="199">
        <f t="shared" si="0"/>
        <v>3</v>
      </c>
      <c r="D11" s="200">
        <v>0</v>
      </c>
      <c r="E11" s="200">
        <v>0</v>
      </c>
      <c r="F11" s="268">
        <f t="shared" si="1"/>
        <v>0</v>
      </c>
      <c r="G11" s="200"/>
      <c r="H11" s="269">
        <f t="shared" si="2"/>
        <v>0</v>
      </c>
      <c r="I11" s="271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197"/>
      <c r="K11" s="208"/>
      <c r="L11" s="208"/>
      <c r="M11" s="208"/>
      <c r="N11" s="208"/>
      <c r="O11" s="207"/>
    </row>
    <row r="12" spans="1:15" s="210" customFormat="1" ht="11.25">
      <c r="A12" s="207"/>
      <c r="B12" s="198">
        <f t="shared" si="3"/>
        <v>43439</v>
      </c>
      <c r="C12" s="199">
        <f t="shared" si="0"/>
        <v>4</v>
      </c>
      <c r="D12" s="200">
        <v>0</v>
      </c>
      <c r="E12" s="200">
        <v>0</v>
      </c>
      <c r="F12" s="268">
        <f t="shared" si="1"/>
        <v>0</v>
      </c>
      <c r="G12" s="200"/>
      <c r="H12" s="269">
        <f t="shared" si="2"/>
        <v>0</v>
      </c>
      <c r="I12" s="271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197"/>
      <c r="K12" s="209"/>
      <c r="L12" s="208"/>
      <c r="M12" s="208"/>
      <c r="N12" s="208"/>
      <c r="O12" s="207"/>
    </row>
    <row r="13" spans="1:15" s="210" customFormat="1" ht="11.25">
      <c r="A13" s="207"/>
      <c r="B13" s="198">
        <f t="shared" si="3"/>
        <v>43440</v>
      </c>
      <c r="C13" s="199">
        <f t="shared" si="0"/>
        <v>5</v>
      </c>
      <c r="D13" s="200">
        <v>0</v>
      </c>
      <c r="E13" s="200">
        <v>0</v>
      </c>
      <c r="F13" s="268">
        <f t="shared" si="1"/>
        <v>0</v>
      </c>
      <c r="G13" s="200"/>
      <c r="H13" s="269">
        <f t="shared" si="2"/>
        <v>0</v>
      </c>
      <c r="I13" s="271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197"/>
      <c r="K13" s="208"/>
      <c r="L13" s="209"/>
      <c r="M13" s="208"/>
      <c r="N13" s="208"/>
      <c r="O13" s="207"/>
    </row>
    <row r="14" spans="1:15" s="210" customFormat="1" ht="11.25">
      <c r="A14" s="207"/>
      <c r="B14" s="198">
        <f t="shared" si="3"/>
        <v>43441</v>
      </c>
      <c r="C14" s="199">
        <f t="shared" si="0"/>
        <v>6</v>
      </c>
      <c r="D14" s="200">
        <v>0</v>
      </c>
      <c r="E14" s="200">
        <v>0</v>
      </c>
      <c r="F14" s="268">
        <f t="shared" si="1"/>
        <v>0</v>
      </c>
      <c r="G14" s="200"/>
      <c r="H14" s="269">
        <f t="shared" si="2"/>
        <v>0</v>
      </c>
      <c r="I14" s="271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197"/>
      <c r="K14" s="208"/>
      <c r="L14" s="208"/>
      <c r="M14" s="208"/>
      <c r="N14" s="208"/>
      <c r="O14" s="207"/>
    </row>
    <row r="15" spans="1:15" s="210" customFormat="1" ht="11.25">
      <c r="A15" s="207"/>
      <c r="B15" s="198">
        <f t="shared" si="3"/>
        <v>43442</v>
      </c>
      <c r="C15" s="199">
        <f t="shared" si="0"/>
        <v>7</v>
      </c>
      <c r="D15" s="200">
        <v>0</v>
      </c>
      <c r="E15" s="200">
        <v>0</v>
      </c>
      <c r="F15" s="268">
        <f t="shared" si="1"/>
        <v>0</v>
      </c>
      <c r="G15" s="200"/>
      <c r="H15" s="269">
        <f t="shared" si="2"/>
        <v>0</v>
      </c>
      <c r="I15" s="271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197"/>
      <c r="K15" s="208"/>
      <c r="L15" s="208"/>
      <c r="M15" s="208"/>
      <c r="N15" s="208"/>
      <c r="O15" s="207"/>
    </row>
    <row r="16" spans="1:15" s="210" customFormat="1" ht="11.25">
      <c r="A16" s="207"/>
      <c r="B16" s="198">
        <f t="shared" si="3"/>
        <v>43443</v>
      </c>
      <c r="C16" s="199">
        <f t="shared" si="0"/>
        <v>1</v>
      </c>
      <c r="D16" s="200">
        <v>0</v>
      </c>
      <c r="E16" s="200">
        <v>0</v>
      </c>
      <c r="F16" s="268">
        <f t="shared" si="1"/>
        <v>0</v>
      </c>
      <c r="G16" s="200"/>
      <c r="H16" s="269">
        <f t="shared" si="2"/>
        <v>0</v>
      </c>
      <c r="I16" s="271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197"/>
      <c r="K16" s="208"/>
      <c r="L16" s="208"/>
      <c r="M16" s="208"/>
      <c r="N16" s="208"/>
      <c r="O16" s="207"/>
    </row>
    <row r="17" spans="1:15" s="210" customFormat="1" ht="11.25">
      <c r="A17" s="207"/>
      <c r="B17" s="198">
        <f t="shared" si="3"/>
        <v>43444</v>
      </c>
      <c r="C17" s="199">
        <f t="shared" si="0"/>
        <v>2</v>
      </c>
      <c r="D17" s="200">
        <v>0</v>
      </c>
      <c r="E17" s="200">
        <v>0</v>
      </c>
      <c r="F17" s="268">
        <f t="shared" si="1"/>
        <v>0</v>
      </c>
      <c r="G17" s="200"/>
      <c r="H17" s="269">
        <f t="shared" si="2"/>
        <v>0</v>
      </c>
      <c r="I17" s="271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197"/>
      <c r="K17" s="208"/>
      <c r="L17" s="208"/>
      <c r="M17" s="208"/>
      <c r="N17" s="208"/>
      <c r="O17" s="207"/>
    </row>
    <row r="18" spans="1:15" s="210" customFormat="1" ht="11.25">
      <c r="A18" s="207"/>
      <c r="B18" s="198">
        <f t="shared" si="3"/>
        <v>43445</v>
      </c>
      <c r="C18" s="199">
        <f t="shared" si="0"/>
        <v>3</v>
      </c>
      <c r="D18" s="200">
        <v>0</v>
      </c>
      <c r="E18" s="200">
        <v>0</v>
      </c>
      <c r="F18" s="268">
        <f t="shared" si="1"/>
        <v>0</v>
      </c>
      <c r="G18" s="200"/>
      <c r="H18" s="269">
        <f t="shared" si="2"/>
        <v>0</v>
      </c>
      <c r="I18" s="271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197"/>
      <c r="K18" s="208"/>
      <c r="L18" s="208"/>
      <c r="M18" s="208"/>
      <c r="N18" s="208"/>
      <c r="O18" s="207"/>
    </row>
    <row r="19" spans="1:15" s="210" customFormat="1" ht="11.25">
      <c r="A19" s="207"/>
      <c r="B19" s="198">
        <f t="shared" si="3"/>
        <v>43446</v>
      </c>
      <c r="C19" s="199">
        <f t="shared" si="0"/>
        <v>4</v>
      </c>
      <c r="D19" s="200">
        <v>0</v>
      </c>
      <c r="E19" s="200">
        <v>0</v>
      </c>
      <c r="F19" s="268">
        <f t="shared" si="1"/>
        <v>0</v>
      </c>
      <c r="G19" s="200"/>
      <c r="H19" s="269">
        <f t="shared" si="2"/>
        <v>0</v>
      </c>
      <c r="I19" s="271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197"/>
      <c r="K19" s="208"/>
      <c r="L19" s="208"/>
      <c r="M19" s="208"/>
      <c r="N19" s="208"/>
      <c r="O19" s="207"/>
    </row>
    <row r="20" spans="1:15" s="210" customFormat="1" ht="11.25">
      <c r="A20" s="207"/>
      <c r="B20" s="198">
        <f t="shared" si="3"/>
        <v>43447</v>
      </c>
      <c r="C20" s="199">
        <f t="shared" si="0"/>
        <v>5</v>
      </c>
      <c r="D20" s="200">
        <v>0</v>
      </c>
      <c r="E20" s="200">
        <v>0</v>
      </c>
      <c r="F20" s="268">
        <f t="shared" si="1"/>
        <v>0</v>
      </c>
      <c r="G20" s="200"/>
      <c r="H20" s="269">
        <f t="shared" si="2"/>
        <v>0</v>
      </c>
      <c r="I20" s="271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197"/>
      <c r="K20" s="208"/>
      <c r="L20" s="208"/>
      <c r="M20" s="208"/>
      <c r="N20" s="208"/>
      <c r="O20" s="207"/>
    </row>
    <row r="21" spans="1:15" s="210" customFormat="1" ht="11.25">
      <c r="A21" s="207"/>
      <c r="B21" s="198">
        <f t="shared" si="3"/>
        <v>43448</v>
      </c>
      <c r="C21" s="199">
        <f t="shared" si="0"/>
        <v>6</v>
      </c>
      <c r="D21" s="200">
        <v>0</v>
      </c>
      <c r="E21" s="200">
        <v>0</v>
      </c>
      <c r="F21" s="268">
        <f t="shared" si="1"/>
        <v>0</v>
      </c>
      <c r="G21" s="200"/>
      <c r="H21" s="269">
        <f t="shared" si="2"/>
        <v>0</v>
      </c>
      <c r="I21" s="271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197"/>
      <c r="K21" s="208"/>
      <c r="L21" s="208"/>
      <c r="M21" s="208"/>
      <c r="N21" s="208"/>
      <c r="O21" s="207"/>
    </row>
    <row r="22" spans="1:15" s="210" customFormat="1" ht="11.25">
      <c r="A22" s="207"/>
      <c r="B22" s="198">
        <f t="shared" si="3"/>
        <v>43449</v>
      </c>
      <c r="C22" s="199">
        <f t="shared" si="0"/>
        <v>7</v>
      </c>
      <c r="D22" s="200">
        <v>0</v>
      </c>
      <c r="E22" s="200">
        <v>0</v>
      </c>
      <c r="F22" s="268">
        <f t="shared" si="1"/>
        <v>0</v>
      </c>
      <c r="G22" s="200"/>
      <c r="H22" s="269">
        <f t="shared" si="2"/>
        <v>0</v>
      </c>
      <c r="I22" s="271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197"/>
      <c r="K22" s="208"/>
      <c r="L22" s="208"/>
      <c r="M22" s="208"/>
      <c r="N22" s="208"/>
      <c r="O22" s="207"/>
    </row>
    <row r="23" spans="1:15" s="210" customFormat="1" ht="11.25">
      <c r="A23" s="207"/>
      <c r="B23" s="198">
        <f t="shared" si="3"/>
        <v>43450</v>
      </c>
      <c r="C23" s="199">
        <f t="shared" si="0"/>
        <v>1</v>
      </c>
      <c r="D23" s="200">
        <v>0</v>
      </c>
      <c r="E23" s="200">
        <v>0</v>
      </c>
      <c r="F23" s="268">
        <f t="shared" si="1"/>
        <v>0</v>
      </c>
      <c r="G23" s="200"/>
      <c r="H23" s="269">
        <f t="shared" si="2"/>
        <v>0</v>
      </c>
      <c r="I23" s="271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197"/>
      <c r="K23" s="208"/>
      <c r="L23" s="208"/>
      <c r="M23" s="208"/>
      <c r="N23" s="208"/>
      <c r="O23" s="207"/>
    </row>
    <row r="24" spans="1:15" s="210" customFormat="1" ht="11.25">
      <c r="A24" s="207"/>
      <c r="B24" s="198">
        <f t="shared" si="3"/>
        <v>43451</v>
      </c>
      <c r="C24" s="199">
        <f t="shared" si="0"/>
        <v>2</v>
      </c>
      <c r="D24" s="200">
        <v>0</v>
      </c>
      <c r="E24" s="200">
        <v>0</v>
      </c>
      <c r="F24" s="268">
        <f t="shared" si="1"/>
        <v>0</v>
      </c>
      <c r="G24" s="200"/>
      <c r="H24" s="269">
        <f t="shared" si="2"/>
        <v>0</v>
      </c>
      <c r="I24" s="271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197"/>
      <c r="K24" s="208"/>
      <c r="L24" s="208"/>
      <c r="M24" s="208"/>
      <c r="N24" s="208"/>
      <c r="O24" s="207"/>
    </row>
    <row r="25" spans="1:15" s="210" customFormat="1" ht="11.25">
      <c r="A25" s="207"/>
      <c r="B25" s="198">
        <f t="shared" si="3"/>
        <v>43452</v>
      </c>
      <c r="C25" s="199">
        <f t="shared" si="0"/>
        <v>3</v>
      </c>
      <c r="D25" s="200">
        <v>0</v>
      </c>
      <c r="E25" s="200">
        <v>0</v>
      </c>
      <c r="F25" s="268">
        <f t="shared" si="1"/>
        <v>0</v>
      </c>
      <c r="G25" s="200"/>
      <c r="H25" s="269">
        <f t="shared" si="2"/>
        <v>0</v>
      </c>
      <c r="I25" s="271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197"/>
      <c r="K25" s="208"/>
      <c r="L25" s="208"/>
      <c r="M25" s="208"/>
      <c r="N25" s="208"/>
      <c r="O25" s="207"/>
    </row>
    <row r="26" spans="1:15" s="210" customFormat="1" ht="11.25">
      <c r="A26" s="207"/>
      <c r="B26" s="198">
        <f t="shared" si="3"/>
        <v>43453</v>
      </c>
      <c r="C26" s="199">
        <f t="shared" si="0"/>
        <v>4</v>
      </c>
      <c r="D26" s="200">
        <v>0</v>
      </c>
      <c r="E26" s="200">
        <v>0</v>
      </c>
      <c r="F26" s="268">
        <f t="shared" si="1"/>
        <v>0</v>
      </c>
      <c r="G26" s="200"/>
      <c r="H26" s="269">
        <f t="shared" si="2"/>
        <v>0</v>
      </c>
      <c r="I26" s="271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197"/>
      <c r="K26" s="208"/>
      <c r="L26" s="208"/>
      <c r="M26" s="208"/>
      <c r="N26" s="208"/>
      <c r="O26" s="207"/>
    </row>
    <row r="27" spans="1:15" s="210" customFormat="1" ht="11.25">
      <c r="A27" s="207"/>
      <c r="B27" s="198">
        <f t="shared" si="3"/>
        <v>43454</v>
      </c>
      <c r="C27" s="199">
        <f t="shared" si="0"/>
        <v>5</v>
      </c>
      <c r="D27" s="200">
        <v>0</v>
      </c>
      <c r="E27" s="200">
        <v>0</v>
      </c>
      <c r="F27" s="268">
        <f t="shared" si="1"/>
        <v>0</v>
      </c>
      <c r="G27" s="200"/>
      <c r="H27" s="269">
        <f t="shared" si="2"/>
        <v>0</v>
      </c>
      <c r="I27" s="271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197"/>
      <c r="K27" s="208"/>
      <c r="L27" s="208"/>
      <c r="M27" s="208"/>
      <c r="N27" s="208"/>
      <c r="O27" s="207"/>
    </row>
    <row r="28" spans="1:15" s="210" customFormat="1" ht="11.25">
      <c r="A28" s="207"/>
      <c r="B28" s="198">
        <f t="shared" si="3"/>
        <v>43455</v>
      </c>
      <c r="C28" s="199">
        <f t="shared" si="0"/>
        <v>6</v>
      </c>
      <c r="D28" s="200">
        <v>0</v>
      </c>
      <c r="E28" s="200">
        <v>0</v>
      </c>
      <c r="F28" s="268">
        <f t="shared" si="1"/>
        <v>0</v>
      </c>
      <c r="G28" s="200"/>
      <c r="H28" s="269">
        <f t="shared" si="2"/>
        <v>0</v>
      </c>
      <c r="I28" s="271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197"/>
      <c r="K28" s="208"/>
      <c r="L28" s="208"/>
      <c r="M28" s="208"/>
      <c r="N28" s="208"/>
      <c r="O28" s="207"/>
    </row>
    <row r="29" spans="1:15" s="210" customFormat="1" ht="11.25">
      <c r="A29" s="207"/>
      <c r="B29" s="198">
        <f t="shared" si="3"/>
        <v>43456</v>
      </c>
      <c r="C29" s="199">
        <f t="shared" si="0"/>
        <v>7</v>
      </c>
      <c r="D29" s="200">
        <v>0</v>
      </c>
      <c r="E29" s="200">
        <v>0</v>
      </c>
      <c r="F29" s="268">
        <f t="shared" si="1"/>
        <v>0</v>
      </c>
      <c r="G29" s="200"/>
      <c r="H29" s="269">
        <f t="shared" si="2"/>
        <v>0</v>
      </c>
      <c r="I29" s="271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197"/>
      <c r="K29" s="208"/>
      <c r="L29" s="208"/>
      <c r="M29" s="208"/>
      <c r="N29" s="208"/>
      <c r="O29" s="207"/>
    </row>
    <row r="30" spans="1:15" s="210" customFormat="1" ht="11.25">
      <c r="A30" s="207"/>
      <c r="B30" s="198">
        <f t="shared" si="3"/>
        <v>43457</v>
      </c>
      <c r="C30" s="199">
        <f t="shared" si="0"/>
        <v>1</v>
      </c>
      <c r="D30" s="200">
        <v>0</v>
      </c>
      <c r="E30" s="200">
        <v>0</v>
      </c>
      <c r="F30" s="268">
        <f t="shared" si="1"/>
        <v>0</v>
      </c>
      <c r="G30" s="200"/>
      <c r="H30" s="269">
        <f t="shared" si="2"/>
        <v>0</v>
      </c>
      <c r="I30" s="271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197"/>
      <c r="K30" s="208"/>
      <c r="L30" s="208"/>
      <c r="M30" s="208"/>
      <c r="N30" s="208"/>
      <c r="O30" s="207"/>
    </row>
    <row r="31" spans="1:15" s="210" customFormat="1" ht="11.25">
      <c r="A31" s="207"/>
      <c r="B31" s="198">
        <f t="shared" si="3"/>
        <v>43458</v>
      </c>
      <c r="C31" s="199">
        <f t="shared" si="0"/>
        <v>2</v>
      </c>
      <c r="D31" s="200">
        <v>0</v>
      </c>
      <c r="E31" s="200">
        <v>0</v>
      </c>
      <c r="F31" s="268">
        <f t="shared" si="1"/>
        <v>0</v>
      </c>
      <c r="G31" s="200"/>
      <c r="H31" s="269">
        <f t="shared" si="2"/>
        <v>0</v>
      </c>
      <c r="I31" s="271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197"/>
      <c r="K31" s="208"/>
      <c r="L31" s="208"/>
      <c r="M31" s="208"/>
      <c r="N31" s="208"/>
      <c r="O31" s="207"/>
    </row>
    <row r="32" spans="1:15" s="210" customFormat="1" ht="11.25">
      <c r="A32" s="207"/>
      <c r="B32" s="226">
        <f t="shared" si="3"/>
        <v>43459</v>
      </c>
      <c r="C32" s="220">
        <f t="shared" si="0"/>
        <v>3</v>
      </c>
      <c r="D32" s="221">
        <v>0</v>
      </c>
      <c r="E32" s="221">
        <v>0</v>
      </c>
      <c r="F32" s="267">
        <f t="shared" si="1"/>
        <v>0</v>
      </c>
      <c r="G32" s="221"/>
      <c r="H32" s="273">
        <f t="shared" si="2"/>
        <v>0</v>
      </c>
      <c r="I32" s="271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197"/>
      <c r="K32" s="208"/>
      <c r="L32" s="208"/>
      <c r="M32" s="208"/>
      <c r="N32" s="208"/>
      <c r="O32" s="207"/>
    </row>
    <row r="33" spans="1:15" s="210" customFormat="1" ht="11.25">
      <c r="A33" s="207"/>
      <c r="B33" s="226">
        <f t="shared" si="3"/>
        <v>43460</v>
      </c>
      <c r="C33" s="220">
        <f t="shared" si="0"/>
        <v>4</v>
      </c>
      <c r="D33" s="221">
        <v>0</v>
      </c>
      <c r="E33" s="221">
        <v>0</v>
      </c>
      <c r="F33" s="267">
        <f t="shared" si="1"/>
        <v>0</v>
      </c>
      <c r="G33" s="221"/>
      <c r="H33" s="273">
        <f t="shared" si="2"/>
        <v>0</v>
      </c>
      <c r="I33" s="271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197"/>
      <c r="K33" s="208"/>
      <c r="L33" s="208"/>
      <c r="M33" s="208"/>
      <c r="N33" s="208"/>
      <c r="O33" s="207"/>
    </row>
    <row r="34" spans="1:15" s="210" customFormat="1" ht="11.25">
      <c r="A34" s="207"/>
      <c r="B34" s="198">
        <f t="shared" si="3"/>
        <v>43461</v>
      </c>
      <c r="C34" s="199">
        <f t="shared" si="0"/>
        <v>5</v>
      </c>
      <c r="D34" s="200">
        <v>0</v>
      </c>
      <c r="E34" s="200">
        <v>0</v>
      </c>
      <c r="F34" s="268">
        <f t="shared" si="1"/>
        <v>0</v>
      </c>
      <c r="G34" s="200"/>
      <c r="H34" s="269">
        <f t="shared" si="2"/>
        <v>0</v>
      </c>
      <c r="I34" s="271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197"/>
      <c r="K34" s="208"/>
      <c r="L34" s="208"/>
      <c r="M34" s="208"/>
      <c r="N34" s="208"/>
      <c r="O34" s="207"/>
    </row>
    <row r="35" spans="1:15" s="210" customFormat="1" ht="11.25">
      <c r="A35" s="207"/>
      <c r="B35" s="198">
        <f t="shared" si="3"/>
        <v>43462</v>
      </c>
      <c r="C35" s="199">
        <f t="shared" si="0"/>
        <v>6</v>
      </c>
      <c r="D35" s="200">
        <v>0</v>
      </c>
      <c r="E35" s="200">
        <v>0</v>
      </c>
      <c r="F35" s="268">
        <f t="shared" si="1"/>
        <v>0</v>
      </c>
      <c r="G35" s="200"/>
      <c r="H35" s="269">
        <f t="shared" si="2"/>
        <v>0</v>
      </c>
      <c r="I35" s="271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197"/>
      <c r="K35" s="208"/>
      <c r="L35" s="208"/>
      <c r="M35" s="208"/>
      <c r="N35" s="208"/>
      <c r="O35" s="207"/>
    </row>
    <row r="36" spans="1:15" s="210" customFormat="1" ht="11.25">
      <c r="A36" s="207"/>
      <c r="B36" s="198">
        <f t="shared" si="3"/>
        <v>43463</v>
      </c>
      <c r="C36" s="199">
        <f t="shared" si="0"/>
        <v>7</v>
      </c>
      <c r="D36" s="200">
        <v>0</v>
      </c>
      <c r="E36" s="200">
        <v>0</v>
      </c>
      <c r="F36" s="268">
        <f t="shared" si="1"/>
        <v>0</v>
      </c>
      <c r="G36" s="200"/>
      <c r="H36" s="269">
        <f t="shared" si="2"/>
        <v>0</v>
      </c>
      <c r="I36" s="271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197"/>
      <c r="K36" s="208"/>
      <c r="L36" s="208"/>
      <c r="M36" s="208"/>
      <c r="N36" s="208"/>
      <c r="O36" s="207"/>
    </row>
    <row r="37" spans="1:15" s="210" customFormat="1" ht="11.25">
      <c r="A37" s="207"/>
      <c r="B37" s="198">
        <f t="shared" si="3"/>
        <v>43464</v>
      </c>
      <c r="C37" s="199">
        <f t="shared" si="0"/>
        <v>1</v>
      </c>
      <c r="D37" s="200">
        <v>0</v>
      </c>
      <c r="E37" s="200">
        <v>0</v>
      </c>
      <c r="F37" s="268">
        <f t="shared" si="1"/>
        <v>0</v>
      </c>
      <c r="G37" s="200"/>
      <c r="H37" s="269">
        <f t="shared" si="2"/>
        <v>0</v>
      </c>
      <c r="I37" s="271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197"/>
      <c r="K37" s="208"/>
      <c r="L37" s="208"/>
      <c r="M37" s="208"/>
      <c r="N37" s="208"/>
      <c r="O37" s="207"/>
    </row>
    <row r="38" spans="1:15" s="210" customFormat="1" ht="11.25">
      <c r="A38" s="207"/>
      <c r="B38" s="198">
        <f t="shared" si="3"/>
        <v>43465</v>
      </c>
      <c r="C38" s="199">
        <f t="shared" si="0"/>
        <v>2</v>
      </c>
      <c r="D38" s="200">
        <v>0</v>
      </c>
      <c r="E38" s="200">
        <v>0</v>
      </c>
      <c r="F38" s="268">
        <f t="shared" si="1"/>
        <v>0</v>
      </c>
      <c r="G38" s="200"/>
      <c r="H38" s="269">
        <f t="shared" si="2"/>
        <v>0</v>
      </c>
      <c r="I38" s="271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197"/>
      <c r="K38" s="208"/>
      <c r="L38" s="208"/>
      <c r="M38" s="208"/>
      <c r="N38" s="208"/>
      <c r="O38" s="207"/>
    </row>
    <row r="39" spans="1:15" s="210" customFormat="1" ht="11.25" customHeight="1">
      <c r="A39" s="211"/>
      <c r="B39" s="188"/>
      <c r="C39" s="188"/>
      <c r="D39" s="577" t="s">
        <v>88</v>
      </c>
      <c r="E39" s="578"/>
      <c r="F39" s="270">
        <f>SUM(F7:F38)</f>
        <v>0</v>
      </c>
      <c r="G39" s="281"/>
      <c r="H39" s="270">
        <f>SUM(H8:H38)</f>
        <v>0</v>
      </c>
      <c r="I39" s="272">
        <f>SUM(I8:I38)</f>
        <v>0</v>
      </c>
      <c r="J39" s="244"/>
      <c r="K39" s="208"/>
      <c r="L39" s="208"/>
      <c r="M39" s="208"/>
      <c r="N39" s="208"/>
      <c r="O39" s="207"/>
    </row>
    <row r="40" spans="1:15" s="210" customFormat="1" ht="11.25" customHeight="1">
      <c r="A40" s="211"/>
      <c r="B40" s="188"/>
      <c r="C40" s="657" t="s">
        <v>318</v>
      </c>
      <c r="D40" s="657"/>
      <c r="E40" s="658"/>
      <c r="F40" s="576">
        <f>SUM(H39,PRODUCT(SUM(J40,J42,J32),Stammdaten!H28))</f>
        <v>0</v>
      </c>
      <c r="G40" s="664" t="s">
        <v>90</v>
      </c>
      <c r="H40" s="665"/>
      <c r="I40" s="666"/>
      <c r="J40" s="204">
        <f>COUNTIF(J8:J38,"u")</f>
        <v>0</v>
      </c>
      <c r="K40" s="208"/>
      <c r="L40" s="208"/>
      <c r="M40" s="208"/>
      <c r="N40" s="208"/>
      <c r="O40" s="207"/>
    </row>
    <row r="41" spans="1:15" s="210" customFormat="1" ht="12" customHeight="1">
      <c r="A41" s="211"/>
      <c r="B41" s="188"/>
      <c r="C41" s="659" t="s">
        <v>117</v>
      </c>
      <c r="D41" s="659"/>
      <c r="E41" s="660"/>
      <c r="F41" s="282">
        <v>0</v>
      </c>
      <c r="G41" s="650" t="s">
        <v>115</v>
      </c>
      <c r="H41" s="651"/>
      <c r="I41" s="652"/>
      <c r="J41" s="205">
        <f>Nov!J41-J40</f>
        <v>25</v>
      </c>
      <c r="K41" s="208"/>
      <c r="L41" s="208"/>
      <c r="M41" s="208"/>
      <c r="N41" s="208"/>
      <c r="O41" s="207"/>
    </row>
    <row r="42" spans="1:15" s="210" customFormat="1" ht="11.25">
      <c r="A42" s="211"/>
      <c r="B42" s="188"/>
      <c r="C42" s="615" t="s">
        <v>121</v>
      </c>
      <c r="D42" s="615"/>
      <c r="E42" s="661"/>
      <c r="F42" s="283">
        <v>0</v>
      </c>
      <c r="G42" s="664" t="s">
        <v>91</v>
      </c>
      <c r="H42" s="665"/>
      <c r="I42" s="666"/>
      <c r="J42" s="206">
        <f>COUNTIF(J8:J38,"k")</f>
        <v>0</v>
      </c>
      <c r="K42" s="193"/>
      <c r="L42" s="212"/>
      <c r="M42" s="197">
        <f>COUNTIF(M8:M38,"k")</f>
        <v>0</v>
      </c>
      <c r="N42" s="208"/>
      <c r="O42" s="207"/>
    </row>
    <row r="43" spans="1:15" s="210" customFormat="1" ht="11.25">
      <c r="A43" s="211"/>
      <c r="B43" s="188"/>
      <c r="C43" s="662" t="s">
        <v>122</v>
      </c>
      <c r="D43" s="662"/>
      <c r="E43" s="663"/>
      <c r="F43" s="284">
        <v>0</v>
      </c>
      <c r="G43" s="664" t="s">
        <v>116</v>
      </c>
      <c r="H43" s="640"/>
      <c r="I43" s="640"/>
      <c r="J43" s="197">
        <f>COUNTIF(J8:J38,"nu")</f>
        <v>0</v>
      </c>
      <c r="K43" s="208"/>
      <c r="L43" s="208"/>
      <c r="M43" s="208"/>
      <c r="N43" s="208"/>
      <c r="O43" s="207"/>
    </row>
    <row r="44" spans="1:15" s="210" customFormat="1" ht="12.75">
      <c r="A44" s="211"/>
      <c r="B44" s="188"/>
      <c r="C44" s="615" t="str">
        <f>Stammdaten!$F$23</f>
        <v>Sonderschicht I</v>
      </c>
      <c r="D44" s="615"/>
      <c r="E44" s="661"/>
      <c r="F44" s="283">
        <v>0</v>
      </c>
      <c r="H44" s="81"/>
      <c r="I44" s="5"/>
      <c r="J44" s="5"/>
      <c r="K44" s="208"/>
      <c r="L44" s="208"/>
      <c r="M44" s="208"/>
      <c r="N44" s="208"/>
      <c r="O44" s="207"/>
    </row>
    <row r="45" spans="1:15" s="210" customFormat="1" ht="11.25">
      <c r="A45" s="211"/>
      <c r="B45" s="188"/>
      <c r="C45" s="615" t="str">
        <f>Stammdaten!$G$24</f>
        <v>Sonderschicht II</v>
      </c>
      <c r="D45" s="615"/>
      <c r="E45" s="661"/>
      <c r="F45" s="283">
        <v>0</v>
      </c>
      <c r="G45" s="193"/>
      <c r="H45" s="485"/>
      <c r="I45" s="492"/>
      <c r="J45" s="211"/>
      <c r="K45" s="208"/>
      <c r="L45" s="208"/>
      <c r="M45" s="208"/>
      <c r="N45" s="208"/>
      <c r="O45" s="207"/>
    </row>
    <row r="46" spans="1:14" ht="11.25" customHeight="1">
      <c r="A46" s="165"/>
      <c r="B46" s="182"/>
      <c r="C46" s="653" t="s">
        <v>183</v>
      </c>
      <c r="D46" s="653"/>
      <c r="E46" s="654"/>
      <c r="F46" s="274">
        <f>$I$39</f>
        <v>0</v>
      </c>
      <c r="G46" s="183"/>
      <c r="H46" s="81"/>
      <c r="I46" s="5"/>
      <c r="J46" s="5"/>
      <c r="K46" s="77"/>
      <c r="L46" s="65"/>
      <c r="M46" s="65"/>
      <c r="N46" s="65"/>
    </row>
    <row r="47" spans="2:12" ht="12.75">
      <c r="B47" s="182"/>
      <c r="C47" s="655" t="s">
        <v>33</v>
      </c>
      <c r="D47" s="655"/>
      <c r="E47" s="656"/>
      <c r="F47" s="564">
        <f>Arbeitszeitübersicht!D8/24</f>
        <v>0.4791666666666667</v>
      </c>
      <c r="G47" s="222"/>
      <c r="H47" s="81"/>
      <c r="I47" s="5"/>
      <c r="J47" s="5"/>
      <c r="K47" s="5"/>
      <c r="L47" s="4"/>
    </row>
    <row r="48" spans="2:14" ht="12.75">
      <c r="B48" s="4"/>
      <c r="C48" s="4"/>
      <c r="D48" s="4"/>
      <c r="E48" s="4"/>
      <c r="F48" s="4"/>
      <c r="H48" s="4"/>
      <c r="I48" s="102"/>
      <c r="J48" s="11"/>
      <c r="K48" s="11"/>
      <c r="L48" s="5"/>
      <c r="N48" s="101"/>
    </row>
    <row r="49" spans="2:12" ht="12.75">
      <c r="B49" s="5"/>
      <c r="C49" s="665"/>
      <c r="D49" s="665"/>
      <c r="E49" s="459" t="s">
        <v>251</v>
      </c>
      <c r="F49" s="460"/>
      <c r="G49" s="457"/>
      <c r="H49" s="458"/>
      <c r="I49" s="457"/>
      <c r="J49" s="457"/>
      <c r="K49" s="5"/>
      <c r="L49" s="4"/>
    </row>
    <row r="50" spans="2:12" ht="12.75">
      <c r="B50" s="5"/>
      <c r="C50" s="193"/>
      <c r="D50" s="193"/>
      <c r="E50" s="459"/>
      <c r="F50" s="459"/>
      <c r="G50" s="461"/>
      <c r="H50" s="65"/>
      <c r="I50" s="461"/>
      <c r="J50" s="461"/>
      <c r="K50" s="5"/>
      <c r="L50" s="4"/>
    </row>
    <row r="51" spans="2:13" ht="12.75">
      <c r="B51" s="4"/>
      <c r="C51" s="4"/>
      <c r="D51" s="5"/>
      <c r="E51" s="13"/>
      <c r="F51" s="669"/>
      <c r="G51" s="670"/>
      <c r="H51" s="670"/>
      <c r="I51" s="100"/>
      <c r="J51" s="100"/>
      <c r="K51" s="5"/>
      <c r="L51" s="5"/>
      <c r="M51" s="101"/>
    </row>
    <row r="52" spans="2:14" ht="12.75">
      <c r="B52" s="4"/>
      <c r="C52" s="4"/>
      <c r="D52" s="4"/>
      <c r="E52" s="5"/>
      <c r="F52" s="669"/>
      <c r="G52" s="670"/>
      <c r="H52" s="670"/>
      <c r="I52" s="81"/>
      <c r="J52" s="5"/>
      <c r="K52" s="5"/>
      <c r="L52" s="5"/>
      <c r="M52" s="101"/>
      <c r="N52" s="101"/>
    </row>
    <row r="53" spans="2:14" ht="12.75">
      <c r="B53" s="4"/>
      <c r="C53" s="4"/>
      <c r="D53" s="4"/>
      <c r="E53" s="4"/>
      <c r="F53" s="4"/>
      <c r="H53" s="4"/>
      <c r="I53" s="102"/>
      <c r="J53" s="11"/>
      <c r="K53" s="11"/>
      <c r="L53" s="5"/>
      <c r="N53" s="101"/>
    </row>
    <row r="54" spans="2:12" ht="0.75" customHeight="1">
      <c r="B54" s="4"/>
      <c r="C54" s="4"/>
      <c r="D54" s="4"/>
      <c r="E54" s="4"/>
      <c r="F54" s="4"/>
      <c r="H54" s="102"/>
      <c r="I54" s="11"/>
      <c r="J54" s="11"/>
      <c r="K54" s="5"/>
      <c r="L54" s="4"/>
    </row>
    <row r="55" spans="2:12" ht="12.75" customHeight="1" hidden="1">
      <c r="B55" s="4"/>
      <c r="C55" s="4"/>
      <c r="D55" s="4"/>
      <c r="E55" s="5"/>
      <c r="F55" s="5"/>
      <c r="G55" s="5"/>
      <c r="H55" s="102"/>
      <c r="I55" s="11"/>
      <c r="J55" s="5"/>
      <c r="K55" s="5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5"/>
      <c r="D57" s="5"/>
      <c r="E57" s="11"/>
      <c r="F57" s="13"/>
      <c r="G57" s="13"/>
      <c r="H57" s="81"/>
      <c r="I57" s="4"/>
      <c r="J57" s="4"/>
      <c r="K57" s="4"/>
      <c r="L57" s="4"/>
    </row>
    <row r="58" spans="2:12" ht="12.75" hidden="1">
      <c r="B58" s="4"/>
      <c r="C58" s="5"/>
      <c r="D58" s="5"/>
      <c r="E58" s="5"/>
      <c r="F58" s="5"/>
      <c r="G58" s="5"/>
      <c r="H58" s="5"/>
      <c r="I58" s="5"/>
      <c r="J58" s="5"/>
      <c r="K58" s="4"/>
      <c r="L58" s="4"/>
    </row>
    <row r="59" spans="2:12" ht="12.75" hidden="1">
      <c r="B59" s="4"/>
      <c r="C59" s="4"/>
      <c r="D59" s="4"/>
      <c r="E59" s="4"/>
      <c r="F59" s="4"/>
      <c r="H59" s="4"/>
      <c r="I59" s="5"/>
      <c r="J59" s="5"/>
      <c r="K59" s="4"/>
      <c r="L59" s="4"/>
    </row>
    <row r="60" spans="2:12" ht="15.75" customHeight="1" hidden="1">
      <c r="B60" s="4"/>
      <c r="C60" s="4"/>
      <c r="D60" s="4"/>
      <c r="E60" s="4"/>
      <c r="F60" s="4"/>
      <c r="H60" s="4"/>
      <c r="I60" s="4"/>
      <c r="J60" s="4"/>
      <c r="L60" s="4"/>
    </row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/>
  </sheetData>
  <sheetProtection/>
  <mergeCells count="18">
    <mergeCell ref="C46:E46"/>
    <mergeCell ref="G43:I43"/>
    <mergeCell ref="F51:H51"/>
    <mergeCell ref="F52:H52"/>
    <mergeCell ref="C49:D49"/>
    <mergeCell ref="C47:E47"/>
    <mergeCell ref="G42:I42"/>
    <mergeCell ref="C42:E42"/>
    <mergeCell ref="C43:E43"/>
    <mergeCell ref="C44:E44"/>
    <mergeCell ref="C45:E45"/>
    <mergeCell ref="B7:C7"/>
    <mergeCell ref="B4:C4"/>
    <mergeCell ref="J2:J6"/>
    <mergeCell ref="G41:I41"/>
    <mergeCell ref="C40:E40"/>
    <mergeCell ref="G40:I40"/>
    <mergeCell ref="C41:E41"/>
  </mergeCells>
  <conditionalFormatting sqref="I8:I38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B8:B31 B34:B38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C34:C38 C8:C31">
    <cfRule type="expression" priority="7" dxfId="0" stopIfTrue="1">
      <formula>WEEKDAY($B8)=1</formula>
    </cfRule>
    <cfRule type="expression" priority="8" dxfId="1" stopIfTrue="1">
      <formula>WEEKDAY($B8)=7</formula>
    </cfRule>
  </conditionalFormatting>
  <conditionalFormatting sqref="D8:H31 D34:H38">
    <cfRule type="expression" priority="9" dxfId="1" stopIfTrue="1">
      <formula>WEEKDAY($B8)=7</formula>
    </cfRule>
    <cfRule type="expression" priority="10" dxfId="0" stopIfTrue="1">
      <formula>WEEKDAY($B8)=1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5"/>
  <dimension ref="A1:M114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3.421875" style="0" customWidth="1"/>
    <col min="2" max="5" width="13.00390625" style="0" customWidth="1"/>
    <col min="6" max="6" width="20.140625" style="0" customWidth="1"/>
    <col min="7" max="7" width="21.140625" style="0" customWidth="1"/>
    <col min="8" max="11" width="13.00390625" style="0" hidden="1" customWidth="1"/>
    <col min="12" max="12" width="13.00390625" style="0" customWidth="1"/>
    <col min="13" max="13" width="4.00390625" style="0" customWidth="1"/>
  </cols>
  <sheetData>
    <row r="1" spans="1:13" ht="12.75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</row>
    <row r="2" spans="1:13" ht="12.75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ht="12.75">
      <c r="A3" s="325"/>
      <c r="B3" s="332" t="s">
        <v>20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2.75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</row>
    <row r="5" spans="1:13" ht="12.75">
      <c r="A5" s="325"/>
      <c r="B5" s="326" t="s">
        <v>0</v>
      </c>
      <c r="C5" s="327"/>
      <c r="D5" s="327"/>
      <c r="E5" s="327"/>
      <c r="F5" s="327"/>
      <c r="G5" s="325"/>
      <c r="H5" s="327"/>
      <c r="I5" s="327"/>
      <c r="J5" s="327"/>
      <c r="K5" s="327"/>
      <c r="L5" s="327"/>
      <c r="M5" s="327"/>
    </row>
    <row r="6" spans="1:13" ht="12.75">
      <c r="A6" s="325"/>
      <c r="B6" s="328" t="s">
        <v>1</v>
      </c>
      <c r="C6" s="329"/>
      <c r="D6" s="329"/>
      <c r="E6" s="329"/>
      <c r="F6" s="329"/>
      <c r="G6" s="329"/>
      <c r="H6" s="329"/>
      <c r="I6" s="329"/>
      <c r="J6" s="329"/>
      <c r="K6" s="329"/>
      <c r="L6" s="327"/>
      <c r="M6" s="327"/>
    </row>
    <row r="7" spans="1:13" ht="12.75">
      <c r="A7" s="325"/>
      <c r="B7" s="329" t="s">
        <v>2</v>
      </c>
      <c r="C7" s="329"/>
      <c r="D7" s="329"/>
      <c r="E7" s="329"/>
      <c r="F7" s="329"/>
      <c r="G7" s="329"/>
      <c r="H7" s="329"/>
      <c r="I7" s="329"/>
      <c r="J7" s="329"/>
      <c r="K7" s="329"/>
      <c r="L7" s="327"/>
      <c r="M7" s="327"/>
    </row>
    <row r="8" spans="1:13" ht="12.75">
      <c r="A8" s="325"/>
      <c r="B8" s="329" t="s">
        <v>3</v>
      </c>
      <c r="C8" s="329"/>
      <c r="D8" s="329"/>
      <c r="E8" s="329"/>
      <c r="F8" s="329"/>
      <c r="G8" s="329"/>
      <c r="H8" s="329"/>
      <c r="I8" s="329"/>
      <c r="J8" s="329"/>
      <c r="K8" s="329"/>
      <c r="L8" s="327"/>
      <c r="M8" s="327"/>
    </row>
    <row r="9" spans="1:13" ht="12.75">
      <c r="A9" s="325"/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7"/>
      <c r="M9" s="327"/>
    </row>
    <row r="10" spans="1:13" ht="12.75">
      <c r="A10" s="325"/>
      <c r="B10" s="330" t="s">
        <v>4</v>
      </c>
      <c r="C10" s="329"/>
      <c r="D10" s="329"/>
      <c r="E10" s="329"/>
      <c r="F10" s="329"/>
      <c r="G10" s="329"/>
      <c r="H10" s="329"/>
      <c r="I10" s="329"/>
      <c r="J10" s="329"/>
      <c r="K10" s="329"/>
      <c r="L10" s="327"/>
      <c r="M10" s="327"/>
    </row>
    <row r="11" spans="1:13" ht="12.75">
      <c r="A11" s="325"/>
      <c r="B11" s="462" t="s">
        <v>314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27"/>
      <c r="M11" s="327"/>
    </row>
    <row r="12" spans="1:13" ht="12.75">
      <c r="A12" s="325"/>
      <c r="B12" s="328" t="s">
        <v>266</v>
      </c>
      <c r="C12" s="329"/>
      <c r="D12" s="329"/>
      <c r="E12" s="329"/>
      <c r="F12" s="329"/>
      <c r="G12" s="329"/>
      <c r="H12" s="329"/>
      <c r="I12" s="329"/>
      <c r="J12" s="329"/>
      <c r="K12" s="329"/>
      <c r="L12" s="327"/>
      <c r="M12" s="327"/>
    </row>
    <row r="13" spans="1:13" ht="12.75">
      <c r="A13" s="325"/>
      <c r="B13" s="330" t="s">
        <v>309</v>
      </c>
      <c r="C13" s="330"/>
      <c r="D13" s="330"/>
      <c r="E13" s="330"/>
      <c r="F13" s="329"/>
      <c r="G13" s="329"/>
      <c r="H13" s="329"/>
      <c r="I13" s="329"/>
      <c r="J13" s="329"/>
      <c r="K13" s="329"/>
      <c r="L13" s="327"/>
      <c r="M13" s="327"/>
    </row>
    <row r="14" spans="1:13" ht="12.75">
      <c r="A14" s="325"/>
      <c r="B14" s="331" t="s">
        <v>16</v>
      </c>
      <c r="C14" s="329"/>
      <c r="D14" s="329"/>
      <c r="E14" s="329"/>
      <c r="F14" s="329"/>
      <c r="G14" s="329"/>
      <c r="H14" s="329"/>
      <c r="I14" s="329"/>
      <c r="J14" s="329"/>
      <c r="K14" s="329"/>
      <c r="L14" s="327"/>
      <c r="M14" s="327"/>
    </row>
    <row r="15" spans="1:13" ht="12.75">
      <c r="A15" s="325"/>
      <c r="B15" s="328" t="s">
        <v>308</v>
      </c>
      <c r="C15" s="329"/>
      <c r="D15" s="329"/>
      <c r="E15" s="329"/>
      <c r="F15" s="329"/>
      <c r="G15" s="329"/>
      <c r="H15" s="329"/>
      <c r="I15" s="329"/>
      <c r="J15" s="329"/>
      <c r="K15" s="329"/>
      <c r="L15" s="327"/>
      <c r="M15" s="327"/>
    </row>
    <row r="16" spans="1:13" ht="12.75">
      <c r="A16" s="325"/>
      <c r="B16" s="328" t="s">
        <v>258</v>
      </c>
      <c r="C16" s="329"/>
      <c r="D16" s="329"/>
      <c r="E16" s="329"/>
      <c r="F16" s="329"/>
      <c r="G16" s="329"/>
      <c r="H16" s="329"/>
      <c r="I16" s="329"/>
      <c r="J16" s="329"/>
      <c r="K16" s="329"/>
      <c r="L16" s="327"/>
      <c r="M16" s="327"/>
    </row>
    <row r="17" spans="1:13" ht="12.75">
      <c r="A17" s="325"/>
      <c r="B17" s="331" t="s">
        <v>17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27"/>
      <c r="M17" s="327"/>
    </row>
    <row r="18" spans="1:13" ht="12.75">
      <c r="A18" s="325"/>
      <c r="B18" s="328" t="s">
        <v>267</v>
      </c>
      <c r="C18" s="329"/>
      <c r="D18" s="329"/>
      <c r="E18" s="329"/>
      <c r="F18" s="329"/>
      <c r="G18" s="329"/>
      <c r="H18" s="329"/>
      <c r="I18" s="329"/>
      <c r="J18" s="329"/>
      <c r="K18" s="329"/>
      <c r="L18" s="327"/>
      <c r="M18" s="327"/>
    </row>
    <row r="19" spans="1:13" ht="12.75">
      <c r="A19" s="325"/>
      <c r="B19" s="329" t="s">
        <v>222</v>
      </c>
      <c r="C19" s="329"/>
      <c r="D19" s="329"/>
      <c r="E19" s="329"/>
      <c r="F19" s="329"/>
      <c r="G19" s="329"/>
      <c r="H19" s="329"/>
      <c r="I19" s="329"/>
      <c r="J19" s="329"/>
      <c r="K19" s="329"/>
      <c r="L19" s="327"/>
      <c r="M19" s="327"/>
    </row>
    <row r="20" spans="1:13" ht="12.75">
      <c r="A20" s="325"/>
      <c r="B20" s="328" t="s">
        <v>299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7"/>
      <c r="M20" s="327"/>
    </row>
    <row r="21" spans="1:13" ht="12.75">
      <c r="A21" s="325"/>
      <c r="B21" s="328" t="s">
        <v>298</v>
      </c>
      <c r="C21" s="329"/>
      <c r="D21" s="329"/>
      <c r="E21" s="329"/>
      <c r="F21" s="329"/>
      <c r="G21" s="329"/>
      <c r="H21" s="329"/>
      <c r="I21" s="329"/>
      <c r="J21" s="329"/>
      <c r="K21" s="329"/>
      <c r="L21" s="327"/>
      <c r="M21" s="327"/>
    </row>
    <row r="22" spans="1:13" ht="12.75">
      <c r="A22" s="325"/>
      <c r="B22" s="331" t="s">
        <v>21</v>
      </c>
      <c r="C22" s="329"/>
      <c r="D22" s="329"/>
      <c r="E22" s="329"/>
      <c r="F22" s="329"/>
      <c r="G22" s="329"/>
      <c r="H22" s="329"/>
      <c r="I22" s="329"/>
      <c r="J22" s="329"/>
      <c r="K22" s="329"/>
      <c r="L22" s="327"/>
      <c r="M22" s="327"/>
    </row>
    <row r="23" spans="1:13" ht="12.75">
      <c r="A23" s="325"/>
      <c r="B23" s="329" t="s">
        <v>223</v>
      </c>
      <c r="C23" s="329"/>
      <c r="D23" s="329"/>
      <c r="E23" s="329"/>
      <c r="F23" s="329"/>
      <c r="G23" s="329"/>
      <c r="H23" s="329"/>
      <c r="I23" s="329"/>
      <c r="J23" s="329"/>
      <c r="K23" s="329"/>
      <c r="L23" s="327"/>
      <c r="M23" s="327"/>
    </row>
    <row r="24" spans="1:13" ht="12.75">
      <c r="A24" s="325"/>
      <c r="B24" s="331" t="s">
        <v>5</v>
      </c>
      <c r="C24" s="329"/>
      <c r="D24" s="329"/>
      <c r="E24" s="329"/>
      <c r="F24" s="329"/>
      <c r="G24" s="329"/>
      <c r="H24" s="329"/>
      <c r="I24" s="329"/>
      <c r="J24" s="329"/>
      <c r="K24" s="329"/>
      <c r="L24" s="327"/>
      <c r="M24" s="327"/>
    </row>
    <row r="25" spans="1:13" ht="12.75">
      <c r="A25" s="325"/>
      <c r="B25" s="329" t="s">
        <v>224</v>
      </c>
      <c r="C25" s="329"/>
      <c r="D25" s="329"/>
      <c r="E25" s="329"/>
      <c r="F25" s="329"/>
      <c r="G25" s="329"/>
      <c r="H25" s="329"/>
      <c r="I25" s="329"/>
      <c r="J25" s="329"/>
      <c r="K25" s="329"/>
      <c r="L25" s="327"/>
      <c r="M25" s="327"/>
    </row>
    <row r="26" spans="1:13" ht="12.75">
      <c r="A26" s="325"/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7"/>
      <c r="M26" s="327"/>
    </row>
    <row r="27" spans="1:13" ht="12.75">
      <c r="A27" s="325"/>
      <c r="B27" s="330" t="s">
        <v>6</v>
      </c>
      <c r="C27" s="329"/>
      <c r="D27" s="329"/>
      <c r="E27" s="329"/>
      <c r="F27" s="329"/>
      <c r="G27" s="329"/>
      <c r="H27" s="329"/>
      <c r="I27" s="329"/>
      <c r="J27" s="329"/>
      <c r="K27" s="329"/>
      <c r="L27" s="327"/>
      <c r="M27" s="327"/>
    </row>
    <row r="28" spans="1:13" ht="12.75">
      <c r="A28" s="325"/>
      <c r="B28" s="331" t="s">
        <v>7</v>
      </c>
      <c r="C28" s="329"/>
      <c r="D28" s="329"/>
      <c r="E28" s="329"/>
      <c r="F28" s="329"/>
      <c r="G28" s="329"/>
      <c r="H28" s="329"/>
      <c r="I28" s="329"/>
      <c r="J28" s="329"/>
      <c r="K28" s="329"/>
      <c r="L28" s="327"/>
      <c r="M28" s="327"/>
    </row>
    <row r="29" spans="1:13" ht="12.75">
      <c r="A29" s="325"/>
      <c r="B29" s="329" t="s">
        <v>241</v>
      </c>
      <c r="C29" s="329"/>
      <c r="D29" s="329"/>
      <c r="E29" s="329"/>
      <c r="F29" s="329"/>
      <c r="G29" s="329"/>
      <c r="H29" s="329"/>
      <c r="I29" s="329"/>
      <c r="J29" s="329"/>
      <c r="K29" s="329"/>
      <c r="L29" s="327"/>
      <c r="M29" s="327"/>
    </row>
    <row r="30" spans="1:13" ht="12.75">
      <c r="A30" s="325"/>
      <c r="B30" s="330"/>
      <c r="C30" s="329"/>
      <c r="D30" s="329"/>
      <c r="E30" s="329"/>
      <c r="F30" s="329"/>
      <c r="G30" s="329"/>
      <c r="H30" s="329"/>
      <c r="I30" s="329"/>
      <c r="J30" s="329"/>
      <c r="K30" s="329"/>
      <c r="L30" s="327"/>
      <c r="M30" s="327"/>
    </row>
    <row r="31" spans="1:13" ht="12.75">
      <c r="A31" s="325"/>
      <c r="B31" s="330" t="s">
        <v>8</v>
      </c>
      <c r="C31" s="329"/>
      <c r="D31" s="329"/>
      <c r="E31" s="329"/>
      <c r="F31" s="329"/>
      <c r="G31" s="329"/>
      <c r="H31" s="329"/>
      <c r="I31" s="329"/>
      <c r="J31" s="329"/>
      <c r="K31" s="329"/>
      <c r="L31" s="327"/>
      <c r="M31" s="327"/>
    </row>
    <row r="32" spans="1:13" ht="12.75">
      <c r="A32" s="325"/>
      <c r="B32" s="331" t="s">
        <v>18</v>
      </c>
      <c r="C32" s="329"/>
      <c r="D32" s="329"/>
      <c r="E32" s="329"/>
      <c r="F32" s="329"/>
      <c r="G32" s="329"/>
      <c r="H32" s="329"/>
      <c r="I32" s="329"/>
      <c r="J32" s="329"/>
      <c r="K32" s="329"/>
      <c r="L32" s="327"/>
      <c r="M32" s="327"/>
    </row>
    <row r="33" spans="1:13" ht="12.75">
      <c r="A33" s="325"/>
      <c r="B33" s="329" t="s">
        <v>225</v>
      </c>
      <c r="C33" s="329"/>
      <c r="D33" s="329"/>
      <c r="E33" s="329"/>
      <c r="F33" s="329"/>
      <c r="G33" s="329"/>
      <c r="H33" s="329"/>
      <c r="I33" s="329"/>
      <c r="J33" s="329"/>
      <c r="K33" s="329"/>
      <c r="L33" s="327"/>
      <c r="M33" s="327"/>
    </row>
    <row r="34" spans="1:13" ht="12.75">
      <c r="A34" s="325"/>
      <c r="B34" s="329" t="s">
        <v>226</v>
      </c>
      <c r="C34" s="329"/>
      <c r="D34" s="329"/>
      <c r="E34" s="329"/>
      <c r="F34" s="329"/>
      <c r="G34" s="329"/>
      <c r="H34" s="329"/>
      <c r="I34" s="329"/>
      <c r="J34" s="329"/>
      <c r="K34" s="329"/>
      <c r="L34" s="325"/>
      <c r="M34" s="325"/>
    </row>
    <row r="35" spans="1:13" ht="12.75">
      <c r="A35" s="325"/>
      <c r="B35" s="462" t="s">
        <v>268</v>
      </c>
      <c r="C35" s="329"/>
      <c r="D35" s="329"/>
      <c r="E35" s="329"/>
      <c r="F35" s="329"/>
      <c r="G35" s="329"/>
      <c r="H35" s="329"/>
      <c r="I35" s="329"/>
      <c r="J35" s="329"/>
      <c r="K35" s="329"/>
      <c r="L35" s="325"/>
      <c r="M35" s="325"/>
    </row>
    <row r="36" spans="1:13" ht="12.75">
      <c r="A36" s="325"/>
      <c r="B36" s="328" t="s">
        <v>269</v>
      </c>
      <c r="C36" s="329"/>
      <c r="D36" s="329"/>
      <c r="E36" s="329"/>
      <c r="F36" s="329"/>
      <c r="G36" s="329"/>
      <c r="H36" s="329"/>
      <c r="I36" s="329"/>
      <c r="J36" s="329"/>
      <c r="K36" s="329"/>
      <c r="L36" s="325"/>
      <c r="M36" s="325"/>
    </row>
    <row r="37" spans="1:13" ht="12.75">
      <c r="A37" s="325"/>
      <c r="B37" s="328" t="s">
        <v>270</v>
      </c>
      <c r="C37" s="350"/>
      <c r="D37" s="350"/>
      <c r="E37" s="350"/>
      <c r="F37" s="350"/>
      <c r="G37" s="350"/>
      <c r="H37" s="350"/>
      <c r="I37" s="350"/>
      <c r="J37" s="350"/>
      <c r="K37" s="350"/>
      <c r="L37" s="351"/>
      <c r="M37" s="325"/>
    </row>
    <row r="38" spans="1:13" ht="12.75">
      <c r="A38" s="325"/>
      <c r="B38" s="328" t="s">
        <v>271</v>
      </c>
      <c r="C38" s="350"/>
      <c r="D38" s="350"/>
      <c r="E38" s="350"/>
      <c r="F38" s="350"/>
      <c r="G38" s="350"/>
      <c r="H38" s="350"/>
      <c r="I38" s="350"/>
      <c r="J38" s="350"/>
      <c r="K38" s="350"/>
      <c r="L38" s="351"/>
      <c r="M38" s="325"/>
    </row>
    <row r="39" spans="1:13" ht="12.75">
      <c r="A39" s="325"/>
      <c r="B39" s="349" t="s">
        <v>259</v>
      </c>
      <c r="C39" s="350"/>
      <c r="D39" s="350"/>
      <c r="E39" s="350"/>
      <c r="F39" s="350"/>
      <c r="G39" s="350"/>
      <c r="H39" s="350"/>
      <c r="I39" s="350"/>
      <c r="J39" s="350"/>
      <c r="K39" s="350"/>
      <c r="L39" s="351"/>
      <c r="M39" s="325"/>
    </row>
    <row r="40" spans="1:13" ht="12.75">
      <c r="A40" s="325"/>
      <c r="B40" s="350" t="s">
        <v>227</v>
      </c>
      <c r="C40" s="329"/>
      <c r="D40" s="329"/>
      <c r="E40" s="329"/>
      <c r="F40" s="329"/>
      <c r="G40" s="329"/>
      <c r="H40" s="329"/>
      <c r="I40" s="329"/>
      <c r="J40" s="329"/>
      <c r="K40" s="329"/>
      <c r="L40" s="325"/>
      <c r="M40" s="325"/>
    </row>
    <row r="41" spans="1:13" ht="12.75">
      <c r="A41" s="325"/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5"/>
      <c r="M41" s="325"/>
    </row>
    <row r="42" spans="1:13" ht="12.75">
      <c r="A42" s="325"/>
      <c r="B42" s="330" t="s">
        <v>9</v>
      </c>
      <c r="C42" s="329"/>
      <c r="D42" s="329"/>
      <c r="E42" s="329"/>
      <c r="F42" s="329"/>
      <c r="G42" s="329"/>
      <c r="H42" s="329"/>
      <c r="I42" s="329"/>
      <c r="J42" s="329"/>
      <c r="K42" s="329"/>
      <c r="L42" s="325"/>
      <c r="M42" s="325"/>
    </row>
    <row r="43" spans="1:13" ht="12.75">
      <c r="A43" s="325"/>
      <c r="B43" s="331" t="s">
        <v>10</v>
      </c>
      <c r="C43" s="329"/>
      <c r="D43" s="329"/>
      <c r="E43" s="329"/>
      <c r="F43" s="329"/>
      <c r="G43" s="329"/>
      <c r="H43" s="329"/>
      <c r="I43" s="329"/>
      <c r="J43" s="329"/>
      <c r="K43" s="329"/>
      <c r="L43" s="325"/>
      <c r="M43" s="325"/>
    </row>
    <row r="44" spans="1:13" ht="12.75">
      <c r="A44" s="325"/>
      <c r="B44" s="329" t="s">
        <v>228</v>
      </c>
      <c r="C44" s="329"/>
      <c r="D44" s="329"/>
      <c r="E44" s="329"/>
      <c r="F44" s="329"/>
      <c r="G44" s="329"/>
      <c r="H44" s="329"/>
      <c r="I44" s="329"/>
      <c r="J44" s="329"/>
      <c r="K44" s="329"/>
      <c r="L44" s="325"/>
      <c r="M44" s="325"/>
    </row>
    <row r="45" spans="1:13" ht="12.75">
      <c r="A45" s="325"/>
      <c r="B45" s="328" t="s">
        <v>310</v>
      </c>
      <c r="C45" s="329"/>
      <c r="D45" s="329"/>
      <c r="E45" s="329"/>
      <c r="F45" s="329"/>
      <c r="G45" s="329"/>
      <c r="H45" s="329"/>
      <c r="I45" s="329"/>
      <c r="J45" s="329"/>
      <c r="K45" s="329"/>
      <c r="L45" s="325"/>
      <c r="M45" s="325"/>
    </row>
    <row r="46" spans="1:13" ht="12.75">
      <c r="A46" s="325"/>
      <c r="B46" s="329" t="s">
        <v>229</v>
      </c>
      <c r="C46" s="329"/>
      <c r="D46" s="329"/>
      <c r="E46" s="329"/>
      <c r="F46" s="329"/>
      <c r="G46" s="329"/>
      <c r="H46" s="329"/>
      <c r="I46" s="329"/>
      <c r="J46" s="329"/>
      <c r="K46" s="329"/>
      <c r="L46" s="325"/>
      <c r="M46" s="325"/>
    </row>
    <row r="47" spans="1:13" ht="12.75">
      <c r="A47" s="325"/>
      <c r="B47" s="329" t="s">
        <v>230</v>
      </c>
      <c r="C47" s="329"/>
      <c r="D47" s="329"/>
      <c r="E47" s="329"/>
      <c r="F47" s="329"/>
      <c r="G47" s="329"/>
      <c r="H47" s="329"/>
      <c r="I47" s="329"/>
      <c r="J47" s="329"/>
      <c r="K47" s="329"/>
      <c r="L47" s="325"/>
      <c r="M47" s="325"/>
    </row>
    <row r="48" spans="1:13" ht="12.75">
      <c r="A48" s="325"/>
      <c r="B48" s="329" t="s">
        <v>231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5"/>
      <c r="M48" s="325"/>
    </row>
    <row r="49" spans="1:13" ht="12.75">
      <c r="A49" s="325"/>
      <c r="B49" s="329"/>
      <c r="C49" s="329"/>
      <c r="D49" s="329"/>
      <c r="E49" s="329"/>
      <c r="F49" s="329"/>
      <c r="G49" s="329"/>
      <c r="H49" s="329"/>
      <c r="I49" s="329"/>
      <c r="J49" s="329"/>
      <c r="K49" s="329"/>
      <c r="L49" s="325"/>
      <c r="M49" s="325"/>
    </row>
    <row r="50" spans="1:13" ht="12.75">
      <c r="A50" s="325"/>
      <c r="B50" s="330" t="s">
        <v>11</v>
      </c>
      <c r="C50" s="329"/>
      <c r="D50" s="329"/>
      <c r="E50" s="329"/>
      <c r="F50" s="329"/>
      <c r="G50" s="329"/>
      <c r="H50" s="329"/>
      <c r="I50" s="329"/>
      <c r="J50" s="329"/>
      <c r="K50" s="329"/>
      <c r="L50" s="325"/>
      <c r="M50" s="325"/>
    </row>
    <row r="51" spans="1:13" ht="12.75">
      <c r="A51" s="325"/>
      <c r="B51" s="462" t="s">
        <v>272</v>
      </c>
      <c r="C51" s="329"/>
      <c r="D51" s="329"/>
      <c r="E51" s="329"/>
      <c r="F51" s="329"/>
      <c r="G51" s="329"/>
      <c r="H51" s="329"/>
      <c r="I51" s="329"/>
      <c r="J51" s="329"/>
      <c r="K51" s="329"/>
      <c r="L51" s="325"/>
      <c r="M51" s="325"/>
    </row>
    <row r="52" spans="1:13" ht="12.75">
      <c r="A52" s="325"/>
      <c r="B52" s="328" t="s">
        <v>311</v>
      </c>
      <c r="C52" s="329"/>
      <c r="D52" s="329"/>
      <c r="E52" s="329"/>
      <c r="F52" s="329"/>
      <c r="G52" s="329"/>
      <c r="H52" s="329"/>
      <c r="I52" s="329"/>
      <c r="J52" s="329"/>
      <c r="K52" s="329"/>
      <c r="L52" s="325"/>
      <c r="M52" s="325"/>
    </row>
    <row r="53" spans="1:13" ht="12.75">
      <c r="A53" s="325"/>
      <c r="B53" s="328" t="s">
        <v>273</v>
      </c>
      <c r="C53" s="329"/>
      <c r="D53" s="329"/>
      <c r="E53" s="329"/>
      <c r="F53" s="329"/>
      <c r="G53" s="329"/>
      <c r="H53" s="329"/>
      <c r="I53" s="329"/>
      <c r="J53" s="329"/>
      <c r="K53" s="329"/>
      <c r="L53" s="325"/>
      <c r="M53" s="325"/>
    </row>
    <row r="54" spans="1:13" ht="12.75">
      <c r="A54" s="325"/>
      <c r="B54" s="328" t="s">
        <v>274</v>
      </c>
      <c r="C54" s="329"/>
      <c r="D54" s="329"/>
      <c r="E54" s="329"/>
      <c r="F54" s="329"/>
      <c r="G54" s="329"/>
      <c r="H54" s="329"/>
      <c r="I54" s="329"/>
      <c r="J54" s="329"/>
      <c r="K54" s="329"/>
      <c r="L54" s="325"/>
      <c r="M54" s="325"/>
    </row>
    <row r="55" spans="1:13" ht="12.75">
      <c r="A55" s="325"/>
      <c r="B55" s="328" t="s">
        <v>275</v>
      </c>
      <c r="C55" s="329"/>
      <c r="D55" s="329"/>
      <c r="E55" s="329"/>
      <c r="F55" s="329"/>
      <c r="G55" s="329"/>
      <c r="H55" s="329"/>
      <c r="I55" s="329"/>
      <c r="J55" s="329"/>
      <c r="K55" s="329"/>
      <c r="L55" s="325"/>
      <c r="M55" s="325"/>
    </row>
    <row r="56" spans="1:13" ht="12.75">
      <c r="A56" s="325"/>
      <c r="B56" s="328" t="s">
        <v>276</v>
      </c>
      <c r="C56" s="329"/>
      <c r="D56" s="329"/>
      <c r="E56" s="329"/>
      <c r="F56" s="329"/>
      <c r="G56" s="329"/>
      <c r="H56" s="329"/>
      <c r="I56" s="329"/>
      <c r="J56" s="329"/>
      <c r="K56" s="329"/>
      <c r="L56" s="325"/>
      <c r="M56" s="325"/>
    </row>
    <row r="57" spans="1:13" ht="12.75">
      <c r="A57" s="325"/>
      <c r="B57" s="462" t="s">
        <v>315</v>
      </c>
      <c r="C57" s="329"/>
      <c r="D57" s="329"/>
      <c r="E57" s="329"/>
      <c r="F57" s="329"/>
      <c r="G57" s="329"/>
      <c r="H57" s="329"/>
      <c r="I57" s="329"/>
      <c r="J57" s="329"/>
      <c r="K57" s="329"/>
      <c r="L57" s="325"/>
      <c r="M57" s="325"/>
    </row>
    <row r="58" spans="1:13" ht="12.75">
      <c r="A58" s="325"/>
      <c r="B58" s="328" t="s">
        <v>277</v>
      </c>
      <c r="C58" s="329"/>
      <c r="D58" s="329"/>
      <c r="E58" s="329"/>
      <c r="F58" s="329"/>
      <c r="G58" s="329"/>
      <c r="H58" s="329"/>
      <c r="I58" s="329"/>
      <c r="J58" s="329"/>
      <c r="K58" s="329"/>
      <c r="L58" s="325"/>
      <c r="M58" s="325"/>
    </row>
    <row r="59" spans="1:13" ht="12.75">
      <c r="A59" s="325"/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5"/>
      <c r="M59" s="325"/>
    </row>
    <row r="60" spans="1:13" ht="12.75">
      <c r="A60" s="325"/>
      <c r="B60" s="330" t="s">
        <v>12</v>
      </c>
      <c r="C60" s="329"/>
      <c r="D60" s="329"/>
      <c r="E60" s="329"/>
      <c r="F60" s="329"/>
      <c r="G60" s="329"/>
      <c r="H60" s="329"/>
      <c r="I60" s="329"/>
      <c r="J60" s="329"/>
      <c r="K60" s="329"/>
      <c r="L60" s="325"/>
      <c r="M60" s="325"/>
    </row>
    <row r="61" spans="1:13" ht="12.75">
      <c r="A61" s="325"/>
      <c r="B61" s="331" t="s">
        <v>232</v>
      </c>
      <c r="C61" s="329"/>
      <c r="D61" s="329"/>
      <c r="E61" s="329"/>
      <c r="F61" s="329"/>
      <c r="G61" s="329"/>
      <c r="H61" s="329"/>
      <c r="I61" s="329"/>
      <c r="J61" s="329"/>
      <c r="K61" s="329"/>
      <c r="L61" s="325"/>
      <c r="M61" s="325"/>
    </row>
    <row r="62" spans="1:13" ht="12.75">
      <c r="A62" s="325"/>
      <c r="B62" s="329" t="s">
        <v>233</v>
      </c>
      <c r="C62" s="329"/>
      <c r="D62" s="329"/>
      <c r="E62" s="329"/>
      <c r="F62" s="329"/>
      <c r="G62" s="329"/>
      <c r="H62" s="329"/>
      <c r="I62" s="329"/>
      <c r="J62" s="329"/>
      <c r="K62" s="329"/>
      <c r="L62" s="325"/>
      <c r="M62" s="325"/>
    </row>
    <row r="63" spans="1:13" ht="12.75">
      <c r="A63" s="325"/>
      <c r="B63" s="329" t="s">
        <v>234</v>
      </c>
      <c r="C63" s="329"/>
      <c r="D63" s="329"/>
      <c r="E63" s="329"/>
      <c r="F63" s="329"/>
      <c r="G63" s="329"/>
      <c r="H63" s="329"/>
      <c r="I63" s="329"/>
      <c r="J63" s="329"/>
      <c r="K63" s="329"/>
      <c r="L63" s="325"/>
      <c r="M63" s="325"/>
    </row>
    <row r="64" spans="1:13" ht="12.75">
      <c r="A64" s="325"/>
      <c r="B64" s="329" t="s">
        <v>235</v>
      </c>
      <c r="C64" s="329"/>
      <c r="D64" s="329"/>
      <c r="E64" s="329"/>
      <c r="F64" s="329"/>
      <c r="G64" s="329"/>
      <c r="H64" s="329"/>
      <c r="I64" s="329"/>
      <c r="J64" s="329"/>
      <c r="K64" s="329"/>
      <c r="L64" s="325"/>
      <c r="M64" s="325"/>
    </row>
    <row r="65" spans="1:13" ht="12.75">
      <c r="A65" s="325"/>
      <c r="B65" s="329" t="s">
        <v>236</v>
      </c>
      <c r="C65" s="329"/>
      <c r="D65" s="329"/>
      <c r="E65" s="329"/>
      <c r="F65" s="329"/>
      <c r="G65" s="329"/>
      <c r="H65" s="329"/>
      <c r="I65" s="329"/>
      <c r="J65" s="329"/>
      <c r="K65" s="329"/>
      <c r="L65" s="325"/>
      <c r="M65" s="325"/>
    </row>
    <row r="66" spans="1:13" ht="12.75">
      <c r="A66" s="325"/>
      <c r="B66" s="331" t="s">
        <v>13</v>
      </c>
      <c r="C66" s="329"/>
      <c r="D66" s="329"/>
      <c r="E66" s="329"/>
      <c r="F66" s="329"/>
      <c r="G66" s="329"/>
      <c r="H66" s="329"/>
      <c r="I66" s="329"/>
      <c r="J66" s="329"/>
      <c r="K66" s="329"/>
      <c r="L66" s="325"/>
      <c r="M66" s="325"/>
    </row>
    <row r="67" spans="1:13" ht="12.75">
      <c r="A67" s="325"/>
      <c r="B67" s="328" t="s">
        <v>278</v>
      </c>
      <c r="C67" s="329"/>
      <c r="D67" s="329"/>
      <c r="E67" s="329"/>
      <c r="F67" s="329"/>
      <c r="G67" s="329"/>
      <c r="H67" s="329"/>
      <c r="I67" s="329"/>
      <c r="J67" s="329"/>
      <c r="K67" s="329"/>
      <c r="L67" s="325"/>
      <c r="M67" s="325"/>
    </row>
    <row r="68" spans="1:13" ht="12.75">
      <c r="A68" s="325"/>
      <c r="B68" s="328" t="s">
        <v>279</v>
      </c>
      <c r="C68" s="329"/>
      <c r="D68" s="329"/>
      <c r="E68" s="329"/>
      <c r="F68" s="329"/>
      <c r="G68" s="329"/>
      <c r="H68" s="329"/>
      <c r="I68" s="329"/>
      <c r="J68" s="329"/>
      <c r="K68" s="329"/>
      <c r="L68" s="325"/>
      <c r="M68" s="325"/>
    </row>
    <row r="69" spans="1:13" ht="12.75">
      <c r="A69" s="325"/>
      <c r="B69" s="328" t="s">
        <v>280</v>
      </c>
      <c r="C69" s="329"/>
      <c r="D69" s="329"/>
      <c r="E69" s="329"/>
      <c r="F69" s="329"/>
      <c r="G69" s="329"/>
      <c r="H69" s="329"/>
      <c r="I69" s="329"/>
      <c r="J69" s="329"/>
      <c r="K69" s="329"/>
      <c r="L69" s="325"/>
      <c r="M69" s="325"/>
    </row>
    <row r="70" spans="1:13" ht="12.75">
      <c r="A70" s="325"/>
      <c r="B70" s="331" t="s">
        <v>14</v>
      </c>
      <c r="C70" s="329"/>
      <c r="D70" s="329"/>
      <c r="E70" s="329"/>
      <c r="F70" s="329"/>
      <c r="G70" s="329"/>
      <c r="H70" s="329"/>
      <c r="I70" s="329"/>
      <c r="J70" s="329"/>
      <c r="K70" s="329"/>
      <c r="L70" s="325"/>
      <c r="M70" s="325"/>
    </row>
    <row r="71" spans="1:13" ht="12.75">
      <c r="A71" s="325"/>
      <c r="B71" s="329" t="s">
        <v>237</v>
      </c>
      <c r="C71" s="329"/>
      <c r="D71" s="329"/>
      <c r="E71" s="329"/>
      <c r="F71" s="329"/>
      <c r="G71" s="329"/>
      <c r="H71" s="329"/>
      <c r="I71" s="329"/>
      <c r="J71" s="329"/>
      <c r="K71" s="329"/>
      <c r="L71" s="325"/>
      <c r="M71" s="325"/>
    </row>
    <row r="72" spans="1:13" ht="12.75">
      <c r="A72" s="325"/>
      <c r="B72" s="329" t="s">
        <v>238</v>
      </c>
      <c r="C72" s="329"/>
      <c r="D72" s="329"/>
      <c r="E72" s="329"/>
      <c r="F72" s="329"/>
      <c r="G72" s="329"/>
      <c r="H72" s="329"/>
      <c r="I72" s="329"/>
      <c r="J72" s="329"/>
      <c r="K72" s="329"/>
      <c r="L72" s="325"/>
      <c r="M72" s="325"/>
    </row>
    <row r="73" spans="1:13" ht="7.5" customHeight="1">
      <c r="A73" s="325"/>
      <c r="B73" s="329"/>
      <c r="C73" s="329"/>
      <c r="D73" s="329"/>
      <c r="E73" s="329"/>
      <c r="F73" s="329"/>
      <c r="G73" s="329"/>
      <c r="H73" s="329"/>
      <c r="I73" s="329"/>
      <c r="J73" s="329"/>
      <c r="K73" s="329"/>
      <c r="L73" s="325"/>
      <c r="M73" s="325"/>
    </row>
    <row r="74" spans="1:13" ht="12.75">
      <c r="A74" s="325"/>
      <c r="B74" s="462" t="s">
        <v>282</v>
      </c>
      <c r="C74" s="329"/>
      <c r="D74" s="329"/>
      <c r="E74" s="329"/>
      <c r="F74" s="329"/>
      <c r="G74" s="329"/>
      <c r="H74" s="329"/>
      <c r="I74" s="329"/>
      <c r="J74" s="329"/>
      <c r="K74" s="329"/>
      <c r="L74" s="325"/>
      <c r="M74" s="325"/>
    </row>
    <row r="75" spans="1:13" ht="12.75">
      <c r="A75" s="325"/>
      <c r="B75" s="328" t="s">
        <v>281</v>
      </c>
      <c r="C75" s="329"/>
      <c r="D75" s="329"/>
      <c r="E75" s="329"/>
      <c r="F75" s="329"/>
      <c r="G75" s="329"/>
      <c r="H75" s="329"/>
      <c r="I75" s="329"/>
      <c r="J75" s="329"/>
      <c r="K75" s="329"/>
      <c r="L75" s="325"/>
      <c r="M75" s="325"/>
    </row>
    <row r="76" spans="1:13" ht="8.25" customHeight="1">
      <c r="A76" s="325"/>
      <c r="B76" s="328"/>
      <c r="C76" s="329"/>
      <c r="D76" s="329"/>
      <c r="E76" s="329"/>
      <c r="F76" s="329"/>
      <c r="G76" s="329"/>
      <c r="H76" s="329"/>
      <c r="I76" s="329"/>
      <c r="J76" s="329"/>
      <c r="K76" s="329"/>
      <c r="L76" s="325"/>
      <c r="M76" s="325"/>
    </row>
    <row r="77" spans="1:13" ht="12.75">
      <c r="A77" s="325"/>
      <c r="B77" s="331" t="s">
        <v>15</v>
      </c>
      <c r="C77" s="329"/>
      <c r="D77" s="329"/>
      <c r="E77" s="329"/>
      <c r="F77" s="329"/>
      <c r="G77" s="329"/>
      <c r="H77" s="329"/>
      <c r="I77" s="329"/>
      <c r="J77" s="329"/>
      <c r="K77" s="329"/>
      <c r="L77" s="325"/>
      <c r="M77" s="325"/>
    </row>
    <row r="78" spans="1:13" ht="12.75">
      <c r="A78" s="325"/>
      <c r="B78" s="329" t="s">
        <v>239</v>
      </c>
      <c r="C78" s="329"/>
      <c r="D78" s="329"/>
      <c r="E78" s="329"/>
      <c r="F78" s="329"/>
      <c r="G78" s="329"/>
      <c r="H78" s="329"/>
      <c r="I78" s="329"/>
      <c r="J78" s="329"/>
      <c r="K78" s="329"/>
      <c r="L78" s="325"/>
      <c r="M78" s="325"/>
    </row>
    <row r="79" spans="1:13" ht="12.75">
      <c r="A79" s="325"/>
      <c r="B79" s="331" t="s">
        <v>19</v>
      </c>
      <c r="C79" s="329"/>
      <c r="D79" s="329"/>
      <c r="E79" s="329"/>
      <c r="F79" s="329"/>
      <c r="G79" s="329"/>
      <c r="H79" s="329"/>
      <c r="I79" s="329"/>
      <c r="J79" s="329"/>
      <c r="K79" s="329"/>
      <c r="L79" s="325"/>
      <c r="M79" s="325"/>
    </row>
    <row r="80" spans="1:13" ht="12.75">
      <c r="A80" s="325"/>
      <c r="B80" s="329" t="s">
        <v>240</v>
      </c>
      <c r="C80" s="329"/>
      <c r="D80" s="329"/>
      <c r="E80" s="329"/>
      <c r="F80" s="329"/>
      <c r="G80" s="329"/>
      <c r="H80" s="329"/>
      <c r="I80" s="329"/>
      <c r="J80" s="329"/>
      <c r="K80" s="329"/>
      <c r="L80" s="325"/>
      <c r="M80" s="325"/>
    </row>
    <row r="81" spans="1:13" ht="12.75">
      <c r="A81" s="325"/>
      <c r="B81" s="331" t="s">
        <v>243</v>
      </c>
      <c r="C81" s="329"/>
      <c r="D81" s="329"/>
      <c r="E81" s="329"/>
      <c r="F81" s="329"/>
      <c r="G81" s="329"/>
      <c r="H81" s="329"/>
      <c r="I81" s="329"/>
      <c r="J81" s="329"/>
      <c r="K81" s="329"/>
      <c r="L81" s="325"/>
      <c r="M81" s="325"/>
    </row>
    <row r="82" spans="1:13" ht="12.75">
      <c r="A82" s="325"/>
      <c r="B82" s="329" t="s">
        <v>244</v>
      </c>
      <c r="C82" s="329"/>
      <c r="D82" s="329"/>
      <c r="E82" s="329"/>
      <c r="F82" s="329"/>
      <c r="G82" s="329"/>
      <c r="H82" s="329"/>
      <c r="I82" s="329"/>
      <c r="J82" s="329"/>
      <c r="K82" s="329"/>
      <c r="L82" s="325"/>
      <c r="M82" s="325"/>
    </row>
    <row r="83" spans="1:13" ht="12.75">
      <c r="A83" s="325"/>
      <c r="B83" s="462" t="s">
        <v>283</v>
      </c>
      <c r="C83" s="350"/>
      <c r="D83" s="350"/>
      <c r="E83" s="350"/>
      <c r="F83" s="350"/>
      <c r="G83" s="350"/>
      <c r="H83" s="350"/>
      <c r="I83" s="350"/>
      <c r="J83" s="350"/>
      <c r="K83" s="350"/>
      <c r="L83" s="351"/>
      <c r="M83" s="325"/>
    </row>
    <row r="84" spans="1:13" ht="12.75">
      <c r="A84" s="325"/>
      <c r="B84" s="349" t="s">
        <v>220</v>
      </c>
      <c r="C84" s="350"/>
      <c r="D84" s="350"/>
      <c r="E84" s="350"/>
      <c r="F84" s="350"/>
      <c r="G84" s="350"/>
      <c r="H84" s="350"/>
      <c r="I84" s="350"/>
      <c r="J84" s="350"/>
      <c r="K84" s="350"/>
      <c r="L84" s="351"/>
      <c r="M84" s="325"/>
    </row>
    <row r="85" spans="1:13" ht="12.75">
      <c r="A85" s="325"/>
      <c r="B85" s="350" t="s">
        <v>221</v>
      </c>
      <c r="C85" s="329"/>
      <c r="D85" s="329"/>
      <c r="E85" s="329"/>
      <c r="F85" s="329"/>
      <c r="G85" s="329"/>
      <c r="H85" s="329"/>
      <c r="I85" s="329"/>
      <c r="J85" s="329"/>
      <c r="K85" s="329"/>
      <c r="L85" s="325"/>
      <c r="M85" s="325"/>
    </row>
    <row r="86" spans="1:13" ht="12.75">
      <c r="A86" s="325"/>
      <c r="B86" s="329"/>
      <c r="C86" s="329"/>
      <c r="D86" s="329"/>
      <c r="E86" s="329"/>
      <c r="F86" s="675"/>
      <c r="G86" s="675"/>
      <c r="H86" s="612"/>
      <c r="I86" s="612"/>
      <c r="J86" s="612"/>
      <c r="K86" s="612"/>
      <c r="L86" s="612"/>
      <c r="M86" s="325"/>
    </row>
    <row r="87" spans="1:13" ht="12.75">
      <c r="A87" s="325"/>
      <c r="B87" s="329" t="s">
        <v>246</v>
      </c>
      <c r="C87" s="329"/>
      <c r="D87" s="329"/>
      <c r="E87" s="329"/>
      <c r="F87" s="675" t="s">
        <v>245</v>
      </c>
      <c r="G87" s="675"/>
      <c r="H87" s="612"/>
      <c r="I87" s="612"/>
      <c r="J87" s="612"/>
      <c r="K87" s="612"/>
      <c r="L87" s="612"/>
      <c r="M87" s="325"/>
    </row>
    <row r="88" spans="1:13" ht="12.75">
      <c r="A88" s="325"/>
      <c r="B88" s="329"/>
      <c r="C88" s="329"/>
      <c r="D88" s="329"/>
      <c r="E88" s="329"/>
      <c r="F88" s="675"/>
      <c r="G88" s="675"/>
      <c r="H88" s="612"/>
      <c r="I88" s="612"/>
      <c r="J88" s="612"/>
      <c r="K88" s="612"/>
      <c r="L88" s="612"/>
      <c r="M88" s="325"/>
    </row>
    <row r="89" spans="2:11" ht="12.75">
      <c r="B89" s="324"/>
      <c r="C89" s="324"/>
      <c r="D89" s="324"/>
      <c r="E89" s="324"/>
      <c r="F89" s="324"/>
      <c r="G89" s="324"/>
      <c r="H89" s="324"/>
      <c r="I89" s="324"/>
      <c r="J89" s="324"/>
      <c r="K89" s="324"/>
    </row>
    <row r="90" spans="2:11" ht="12.75">
      <c r="B90" s="324"/>
      <c r="C90" s="324"/>
      <c r="D90" s="324"/>
      <c r="E90" s="324"/>
      <c r="F90" s="324"/>
      <c r="G90" s="324"/>
      <c r="H90" s="324"/>
      <c r="I90" s="324"/>
      <c r="J90" s="324"/>
      <c r="K90" s="324"/>
    </row>
    <row r="91" spans="2:11" ht="12.75">
      <c r="B91" s="324"/>
      <c r="C91" s="324"/>
      <c r="D91" s="324"/>
      <c r="E91" s="324"/>
      <c r="F91" s="324"/>
      <c r="G91" s="324"/>
      <c r="H91" s="324"/>
      <c r="I91" s="324"/>
      <c r="J91" s="324"/>
      <c r="K91" s="324"/>
    </row>
    <row r="92" spans="2:11" ht="12.75">
      <c r="B92" s="324"/>
      <c r="C92" s="324"/>
      <c r="D92" s="324"/>
      <c r="E92" s="324"/>
      <c r="F92" s="324"/>
      <c r="G92" s="324"/>
      <c r="H92" s="324"/>
      <c r="I92" s="324"/>
      <c r="J92" s="324"/>
      <c r="K92" s="324"/>
    </row>
    <row r="93" spans="2:11" ht="12.75">
      <c r="B93" s="324"/>
      <c r="C93" s="324"/>
      <c r="D93" s="324"/>
      <c r="E93" s="324"/>
      <c r="F93" s="324"/>
      <c r="G93" s="324"/>
      <c r="H93" s="324"/>
      <c r="I93" s="324"/>
      <c r="J93" s="324"/>
      <c r="K93" s="324"/>
    </row>
    <row r="94" spans="2:11" ht="12.75">
      <c r="B94" s="324"/>
      <c r="C94" s="324"/>
      <c r="D94" s="324"/>
      <c r="E94" s="324"/>
      <c r="F94" s="324"/>
      <c r="G94" s="324"/>
      <c r="H94" s="324"/>
      <c r="I94" s="324"/>
      <c r="J94" s="324"/>
      <c r="K94" s="324"/>
    </row>
    <row r="95" spans="2:11" ht="12.75">
      <c r="B95" s="324"/>
      <c r="C95" s="324"/>
      <c r="D95" s="324"/>
      <c r="E95" s="324"/>
      <c r="F95" s="324"/>
      <c r="G95" s="324"/>
      <c r="H95" s="324"/>
      <c r="I95" s="324"/>
      <c r="J95" s="324"/>
      <c r="K95" s="324"/>
    </row>
    <row r="96" spans="2:11" ht="12.75">
      <c r="B96" s="324"/>
      <c r="C96" s="324"/>
      <c r="D96" s="324"/>
      <c r="E96" s="324"/>
      <c r="F96" s="324"/>
      <c r="G96" s="324"/>
      <c r="H96" s="324"/>
      <c r="I96" s="324"/>
      <c r="J96" s="324"/>
      <c r="K96" s="324"/>
    </row>
    <row r="97" spans="2:11" ht="12.75">
      <c r="B97" s="324"/>
      <c r="C97" s="324"/>
      <c r="D97" s="324"/>
      <c r="E97" s="324"/>
      <c r="F97" s="324"/>
      <c r="G97" s="324"/>
      <c r="H97" s="324"/>
      <c r="I97" s="324"/>
      <c r="J97" s="324"/>
      <c r="K97" s="324"/>
    </row>
    <row r="98" spans="2:11" ht="12.75">
      <c r="B98" s="324"/>
      <c r="C98" s="324"/>
      <c r="D98" s="324"/>
      <c r="E98" s="324"/>
      <c r="F98" s="324"/>
      <c r="G98" s="324"/>
      <c r="H98" s="324"/>
      <c r="I98" s="324"/>
      <c r="J98" s="324"/>
      <c r="K98" s="324"/>
    </row>
    <row r="99" spans="2:11" ht="12.75">
      <c r="B99" s="324"/>
      <c r="C99" s="324"/>
      <c r="D99" s="324"/>
      <c r="E99" s="324"/>
      <c r="F99" s="324"/>
      <c r="G99" s="324"/>
      <c r="H99" s="324"/>
      <c r="I99" s="324"/>
      <c r="J99" s="324"/>
      <c r="K99" s="324"/>
    </row>
    <row r="100" spans="2:11" ht="12.75">
      <c r="B100" s="324"/>
      <c r="C100" s="324"/>
      <c r="D100" s="324"/>
      <c r="E100" s="324"/>
      <c r="F100" s="324"/>
      <c r="G100" s="324"/>
      <c r="H100" s="324"/>
      <c r="I100" s="324"/>
      <c r="J100" s="324"/>
      <c r="K100" s="324"/>
    </row>
    <row r="101" spans="2:11" ht="12.75">
      <c r="B101" s="324"/>
      <c r="C101" s="324"/>
      <c r="D101" s="324"/>
      <c r="E101" s="324"/>
      <c r="F101" s="324"/>
      <c r="G101" s="324"/>
      <c r="H101" s="324"/>
      <c r="I101" s="324"/>
      <c r="J101" s="324"/>
      <c r="K101" s="324"/>
    </row>
    <row r="102" spans="2:11" ht="12.75">
      <c r="B102" s="324"/>
      <c r="C102" s="324"/>
      <c r="D102" s="324"/>
      <c r="E102" s="324"/>
      <c r="F102" s="324"/>
      <c r="G102" s="324"/>
      <c r="H102" s="324"/>
      <c r="I102" s="324"/>
      <c r="J102" s="324"/>
      <c r="K102" s="324"/>
    </row>
    <row r="103" spans="2:11" ht="12.75">
      <c r="B103" s="324"/>
      <c r="C103" s="324"/>
      <c r="D103" s="324"/>
      <c r="E103" s="324"/>
      <c r="F103" s="324"/>
      <c r="G103" s="324"/>
      <c r="H103" s="324"/>
      <c r="I103" s="324"/>
      <c r="J103" s="324"/>
      <c r="K103" s="324"/>
    </row>
    <row r="104" spans="2:11" ht="12.75">
      <c r="B104" s="324"/>
      <c r="C104" s="324"/>
      <c r="D104" s="324"/>
      <c r="E104" s="324"/>
      <c r="F104" s="324"/>
      <c r="G104" s="324"/>
      <c r="H104" s="324"/>
      <c r="I104" s="324"/>
      <c r="J104" s="324"/>
      <c r="K104" s="324"/>
    </row>
    <row r="105" spans="2:11" ht="12.75">
      <c r="B105" s="324"/>
      <c r="C105" s="324"/>
      <c r="D105" s="324"/>
      <c r="E105" s="324"/>
      <c r="F105" s="324"/>
      <c r="G105" s="324"/>
      <c r="H105" s="324"/>
      <c r="I105" s="324"/>
      <c r="J105" s="324"/>
      <c r="K105" s="324"/>
    </row>
    <row r="106" spans="2:11" ht="12.75">
      <c r="B106" s="324"/>
      <c r="C106" s="324"/>
      <c r="D106" s="324"/>
      <c r="E106" s="324"/>
      <c r="F106" s="324"/>
      <c r="G106" s="324"/>
      <c r="H106" s="324"/>
      <c r="I106" s="324"/>
      <c r="J106" s="324"/>
      <c r="K106" s="324"/>
    </row>
    <row r="107" spans="2:11" ht="12.75">
      <c r="B107" s="324"/>
      <c r="C107" s="324"/>
      <c r="D107" s="324"/>
      <c r="E107" s="324"/>
      <c r="F107" s="324"/>
      <c r="G107" s="324"/>
      <c r="H107" s="324"/>
      <c r="I107" s="324"/>
      <c r="J107" s="324"/>
      <c r="K107" s="324"/>
    </row>
    <row r="108" spans="2:11" ht="12.75">
      <c r="B108" s="324"/>
      <c r="C108" s="324"/>
      <c r="D108" s="324"/>
      <c r="E108" s="324"/>
      <c r="F108" s="324"/>
      <c r="G108" s="324"/>
      <c r="H108" s="324"/>
      <c r="I108" s="324"/>
      <c r="J108" s="324"/>
      <c r="K108" s="324"/>
    </row>
    <row r="109" spans="2:11" ht="12.75">
      <c r="B109" s="324"/>
      <c r="C109" s="324"/>
      <c r="D109" s="324"/>
      <c r="E109" s="324"/>
      <c r="F109" s="324"/>
      <c r="G109" s="324"/>
      <c r="H109" s="324"/>
      <c r="I109" s="324"/>
      <c r="J109" s="324"/>
      <c r="K109" s="324"/>
    </row>
    <row r="110" spans="2:11" ht="12.75">
      <c r="B110" s="324"/>
      <c r="C110" s="324"/>
      <c r="D110" s="324"/>
      <c r="E110" s="324"/>
      <c r="F110" s="324"/>
      <c r="G110" s="324"/>
      <c r="H110" s="324"/>
      <c r="I110" s="324"/>
      <c r="J110" s="324"/>
      <c r="K110" s="324"/>
    </row>
    <row r="111" spans="2:11" ht="12.75">
      <c r="B111" s="324"/>
      <c r="C111" s="324"/>
      <c r="D111" s="324"/>
      <c r="E111" s="324"/>
      <c r="F111" s="324"/>
      <c r="G111" s="324"/>
      <c r="H111" s="324"/>
      <c r="I111" s="324"/>
      <c r="J111" s="324"/>
      <c r="K111" s="324"/>
    </row>
    <row r="112" spans="2:11" ht="12.75">
      <c r="B112" s="324"/>
      <c r="C112" s="324"/>
      <c r="D112" s="324"/>
      <c r="E112" s="324"/>
      <c r="F112" s="324"/>
      <c r="G112" s="324"/>
      <c r="H112" s="324"/>
      <c r="I112" s="324"/>
      <c r="J112" s="324"/>
      <c r="K112" s="324"/>
    </row>
    <row r="113" spans="2:11" ht="12.75">
      <c r="B113" s="324"/>
      <c r="C113" s="324"/>
      <c r="D113" s="324"/>
      <c r="E113" s="324"/>
      <c r="F113" s="324"/>
      <c r="G113" s="324"/>
      <c r="H113" s="324"/>
      <c r="I113" s="324"/>
      <c r="J113" s="324"/>
      <c r="K113" s="324"/>
    </row>
    <row r="114" ht="12.75">
      <c r="B114" s="324"/>
    </row>
  </sheetData>
  <sheetProtection/>
  <mergeCells count="3">
    <mergeCell ref="F86:L86"/>
    <mergeCell ref="F87:L87"/>
    <mergeCell ref="F88:L88"/>
  </mergeCells>
  <hyperlinks>
    <hyperlink ref="F87:G87" r:id="rId1" display="http:/www.parmentier.de/steuer/stundenabrechnung(1.0).xls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8"/>
  <dimension ref="A1:BJ319"/>
  <sheetViews>
    <sheetView zoomScale="90" zoomScaleNormal="90" zoomScalePageLayoutView="0" workbookViewId="0" topLeftCell="A1">
      <selection activeCell="J37" sqref="J37"/>
    </sheetView>
  </sheetViews>
  <sheetFormatPr defaultColWidth="0" defaultRowHeight="12.75"/>
  <cols>
    <col min="1" max="1" width="6.57421875" style="45" customWidth="1"/>
    <col min="2" max="2" width="14.28125" style="45" customWidth="1"/>
    <col min="3" max="3" width="7.00390625" style="45" customWidth="1"/>
    <col min="4" max="4" width="14.00390625" style="45" customWidth="1"/>
    <col min="5" max="5" width="6.8515625" style="45" customWidth="1"/>
    <col min="6" max="6" width="14.8515625" style="45" customWidth="1"/>
    <col min="7" max="7" width="7.28125" style="45" customWidth="1"/>
    <col min="8" max="8" width="14.421875" style="45" customWidth="1"/>
    <col min="9" max="9" width="7.57421875" style="45" customWidth="1"/>
    <col min="10" max="10" width="13.57421875" style="45" customWidth="1"/>
    <col min="11" max="11" width="7.421875" style="45" customWidth="1"/>
    <col min="12" max="12" width="14.28125" style="45" customWidth="1"/>
    <col min="13" max="13" width="6.28125" style="45" customWidth="1"/>
    <col min="14" max="14" width="13.57421875" style="45" customWidth="1"/>
    <col min="15" max="15" width="6.57421875" style="45" customWidth="1"/>
    <col min="16" max="16" width="13.57421875" style="45" customWidth="1"/>
    <col min="17" max="17" width="6.8515625" style="45" customWidth="1"/>
    <col min="18" max="18" width="14.00390625" style="45" customWidth="1"/>
    <col min="19" max="19" width="8.00390625" style="45" customWidth="1"/>
    <col min="20" max="20" width="14.8515625" style="45" customWidth="1"/>
    <col min="21" max="21" width="7.28125" style="45" customWidth="1"/>
    <col min="22" max="22" width="14.7109375" style="45" customWidth="1"/>
    <col min="23" max="23" width="6.7109375" style="45" customWidth="1"/>
    <col min="24" max="24" width="14.7109375" style="45" customWidth="1"/>
    <col min="25" max="25" width="7.140625" style="45" hidden="1" customWidth="1"/>
    <col min="26" max="26" width="14.8515625" style="45" hidden="1" customWidth="1"/>
    <col min="27" max="27" width="8.8515625" style="45" hidden="1" customWidth="1"/>
    <col min="28" max="28" width="15.28125" style="45" hidden="1" customWidth="1"/>
    <col min="29" max="30" width="8.00390625" style="45" hidden="1" customWidth="1"/>
    <col min="31" max="33" width="16.28125" style="45" hidden="1" customWidth="1"/>
    <col min="34" max="34" width="15.7109375" style="45" hidden="1" customWidth="1"/>
    <col min="35" max="16384" width="0" style="0" hidden="1" customWidth="1"/>
  </cols>
  <sheetData>
    <row r="1" spans="1:29" ht="5.25" customHeight="1" thickBot="1">
      <c r="A1" s="46"/>
      <c r="B1" s="44"/>
      <c r="I1" s="170"/>
      <c r="X1" s="46"/>
      <c r="AA1" s="62"/>
      <c r="AB1" s="62"/>
      <c r="AC1" s="62"/>
    </row>
    <row r="2" spans="3:29" ht="18.75" thickBot="1">
      <c r="C2" s="630" t="str">
        <f>"Kalender "&amp;gewJahr</f>
        <v>Kalender 2018</v>
      </c>
      <c r="D2" s="631"/>
      <c r="X2" s="46"/>
      <c r="AA2" s="69"/>
      <c r="AB2" s="69"/>
      <c r="AC2" s="62"/>
    </row>
    <row r="3" spans="24:29" ht="5.25" customHeight="1">
      <c r="X3" s="46"/>
      <c r="AA3" s="69"/>
      <c r="AB3" s="69"/>
      <c r="AC3" s="62"/>
    </row>
    <row r="4" spans="1:62" ht="14.25" customHeight="1">
      <c r="A4" s="632" t="s">
        <v>66</v>
      </c>
      <c r="B4" s="633"/>
      <c r="C4" s="626" t="s">
        <v>67</v>
      </c>
      <c r="D4" s="634"/>
      <c r="E4" s="626" t="s">
        <v>68</v>
      </c>
      <c r="F4" s="627"/>
      <c r="G4" s="626" t="s">
        <v>69</v>
      </c>
      <c r="H4" s="627"/>
      <c r="I4" s="626" t="s">
        <v>70</v>
      </c>
      <c r="J4" s="627"/>
      <c r="K4" s="628" t="s">
        <v>71</v>
      </c>
      <c r="L4" s="629"/>
      <c r="M4" s="626" t="s">
        <v>72</v>
      </c>
      <c r="N4" s="627"/>
      <c r="O4" s="626" t="s">
        <v>73</v>
      </c>
      <c r="P4" s="627"/>
      <c r="Q4" s="626" t="s">
        <v>74</v>
      </c>
      <c r="R4" s="627"/>
      <c r="S4" s="626" t="s">
        <v>75</v>
      </c>
      <c r="T4" s="627"/>
      <c r="U4" s="626" t="s">
        <v>76</v>
      </c>
      <c r="V4" s="627"/>
      <c r="W4" s="626" t="s">
        <v>77</v>
      </c>
      <c r="X4" s="627"/>
      <c r="Y4" s="71"/>
      <c r="Z4" s="64"/>
      <c r="AA4" s="71"/>
      <c r="AB4" s="64"/>
      <c r="AC4" s="70"/>
      <c r="AD4" s="71"/>
      <c r="AE4" s="64"/>
      <c r="AF4" s="70"/>
      <c r="AG4" s="71"/>
      <c r="AH4" s="64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</row>
    <row r="5" spans="1:34" ht="13.5" customHeight="1">
      <c r="A5" s="154">
        <f>DATE(gewJahr,1,1)</f>
        <v>43101</v>
      </c>
      <c r="B5" s="155" t="s">
        <v>43</v>
      </c>
      <c r="C5" s="92">
        <f>DATE(gewJahr,2,1)</f>
        <v>43132</v>
      </c>
      <c r="D5" s="93"/>
      <c r="E5" s="92">
        <f>DATE(gewJahr,3,1)</f>
        <v>43160</v>
      </c>
      <c r="F5" s="93"/>
      <c r="G5" s="92">
        <f>DATE(gewJahr,4,1)</f>
        <v>43191</v>
      </c>
      <c r="H5" s="166"/>
      <c r="I5" s="154">
        <f>DATE(gewJahr,5,1)</f>
        <v>43221</v>
      </c>
      <c r="J5" s="169" t="str">
        <f>IF(I5=$E$43,$C$43,"Maifeiertag")</f>
        <v>Maifeiertag</v>
      </c>
      <c r="K5" s="92">
        <f>DATE(gewJahr,6,1)</f>
        <v>43252</v>
      </c>
      <c r="L5" s="97">
        <f aca="true" t="shared" si="0" ref="L5:L31">IF(K5=$E$43,$C$43,IF(K5=$E$44,$C$44,IF(K5=$E$45,$C$45,IF(K5=$E$46,$C$46,""))))</f>
      </c>
      <c r="M5" s="92">
        <f>DATE(gewJahr,7,1)</f>
        <v>43282</v>
      </c>
      <c r="N5" s="93"/>
      <c r="O5" s="92">
        <f>DATE(gewJahr,8,1)</f>
        <v>43313</v>
      </c>
      <c r="P5" s="93"/>
      <c r="Q5" s="92">
        <f>DATE(gewJahr,9,1)</f>
        <v>43344</v>
      </c>
      <c r="R5" s="93"/>
      <c r="S5" s="92">
        <f>DATE(gewJahr,10,1)</f>
        <v>43374</v>
      </c>
      <c r="T5" s="93"/>
      <c r="U5" s="154">
        <f>DATE(gewJahr,11,1)</f>
        <v>43405</v>
      </c>
      <c r="V5" s="158" t="s">
        <v>50</v>
      </c>
      <c r="W5" s="92">
        <f>DATE(gewJahr,12,1)</f>
        <v>43435</v>
      </c>
      <c r="X5" s="96"/>
      <c r="Y5" s="73"/>
      <c r="Z5" s="72"/>
      <c r="AA5" s="73"/>
      <c r="AB5" s="72"/>
      <c r="AC5" s="72"/>
      <c r="AD5" s="73"/>
      <c r="AE5" s="74"/>
      <c r="AF5" s="72"/>
      <c r="AG5" s="73"/>
      <c r="AH5" s="72"/>
    </row>
    <row r="6" spans="1:34" ht="13.5" customHeight="1">
      <c r="A6" s="92">
        <f>A5+1</f>
        <v>43102</v>
      </c>
      <c r="B6" s="93"/>
      <c r="C6" s="92">
        <f>C5+1</f>
        <v>43133</v>
      </c>
      <c r="D6" s="93"/>
      <c r="E6" s="92">
        <f>E5+1</f>
        <v>43161</v>
      </c>
      <c r="F6" s="93"/>
      <c r="G6" s="92">
        <f aca="true" t="shared" si="1" ref="G6:G34">G5+1</f>
        <v>43192</v>
      </c>
      <c r="H6" s="168" t="str">
        <f>IF(G6=$E$40,$C$40,IF(G6=$E$41,$C$41,IF(G6=$E$42,$C$42,"")))</f>
        <v>Ostermontag</v>
      </c>
      <c r="I6" s="92">
        <f aca="true" t="shared" si="2" ref="I6:I35">I5+1</f>
        <v>43222</v>
      </c>
      <c r="J6" s="97">
        <f>IF(I6=$E$43,$C$43,"")</f>
      </c>
      <c r="K6" s="92">
        <f>K5+1</f>
        <v>43253</v>
      </c>
      <c r="L6" s="97">
        <f t="shared" si="0"/>
      </c>
      <c r="M6" s="92">
        <f>M5+1</f>
        <v>43283</v>
      </c>
      <c r="N6" s="93"/>
      <c r="O6" s="92">
        <f aca="true" t="shared" si="3" ref="O6:O35">O5+1</f>
        <v>43314</v>
      </c>
      <c r="P6" s="93"/>
      <c r="Q6" s="92">
        <f>Q5+1</f>
        <v>43345</v>
      </c>
      <c r="R6" s="93"/>
      <c r="S6" s="92">
        <f>S5+1</f>
        <v>43375</v>
      </c>
      <c r="T6" s="93"/>
      <c r="U6" s="92">
        <f>U5+1</f>
        <v>43406</v>
      </c>
      <c r="V6" s="93"/>
      <c r="W6" s="92">
        <f>W5+1</f>
        <v>43436</v>
      </c>
      <c r="X6" s="96"/>
      <c r="Y6" s="73"/>
      <c r="Z6" s="72"/>
      <c r="AA6" s="73"/>
      <c r="AB6" s="72"/>
      <c r="AC6" s="72"/>
      <c r="AD6" s="73"/>
      <c r="AE6" s="72"/>
      <c r="AF6" s="72"/>
      <c r="AG6" s="73"/>
      <c r="AH6" s="72"/>
    </row>
    <row r="7" spans="1:34" ht="13.5" customHeight="1">
      <c r="A7" s="92">
        <f aca="true" t="shared" si="4" ref="A7:A35">A6+1</f>
        <v>43103</v>
      </c>
      <c r="B7" s="93"/>
      <c r="C7" s="92">
        <f aca="true" t="shared" si="5" ref="C7:C32">C6+1</f>
        <v>43134</v>
      </c>
      <c r="D7" s="93"/>
      <c r="E7" s="92">
        <f aca="true" t="shared" si="6" ref="E7:E23">E6+1</f>
        <v>43162</v>
      </c>
      <c r="F7" s="93"/>
      <c r="G7" s="92">
        <f t="shared" si="1"/>
        <v>43193</v>
      </c>
      <c r="H7" s="167">
        <f aca="true" t="shared" si="7" ref="H7:H29">IF(G7=$E$40,$C$40,IF(G7=$E$41,$C$41,IF(G7=$E$42,$C$42,"")))</f>
      </c>
      <c r="I7" s="92">
        <f t="shared" si="2"/>
        <v>43223</v>
      </c>
      <c r="J7" s="97">
        <f>IF(I7=$E$43,$C$43,"")</f>
      </c>
      <c r="K7" s="92">
        <f aca="true" t="shared" si="8" ref="K7:K31">K6+1</f>
        <v>43254</v>
      </c>
      <c r="L7" s="97">
        <f t="shared" si="0"/>
      </c>
      <c r="M7" s="92">
        <f aca="true" t="shared" si="9" ref="M7:M35">M6+1</f>
        <v>43284</v>
      </c>
      <c r="N7" s="93"/>
      <c r="O7" s="92">
        <f t="shared" si="3"/>
        <v>43315</v>
      </c>
      <c r="P7" s="93"/>
      <c r="Q7" s="92">
        <f aca="true" t="shared" si="10" ref="Q7:Q34">Q6+1</f>
        <v>43346</v>
      </c>
      <c r="R7" s="93"/>
      <c r="S7" s="154">
        <f aca="true" t="shared" si="11" ref="S7:S35">S6+1</f>
        <v>43376</v>
      </c>
      <c r="T7" s="156" t="s">
        <v>78</v>
      </c>
      <c r="U7" s="92">
        <f aca="true" t="shared" si="12" ref="U7:U19">U6+1</f>
        <v>43407</v>
      </c>
      <c r="V7" s="93"/>
      <c r="W7" s="92">
        <f aca="true" t="shared" si="13" ref="W7:W28">W6+1</f>
        <v>43437</v>
      </c>
      <c r="X7" s="96"/>
      <c r="Y7" s="73"/>
      <c r="Z7" s="72"/>
      <c r="AA7" s="73"/>
      <c r="AB7" s="72"/>
      <c r="AC7" s="72"/>
      <c r="AD7" s="73"/>
      <c r="AE7" s="72"/>
      <c r="AF7" s="72"/>
      <c r="AG7" s="73"/>
      <c r="AH7" s="72"/>
    </row>
    <row r="8" spans="1:34" ht="13.5" customHeight="1">
      <c r="A8" s="92">
        <f t="shared" si="4"/>
        <v>43104</v>
      </c>
      <c r="B8" s="93"/>
      <c r="C8" s="92">
        <f t="shared" si="5"/>
        <v>43135</v>
      </c>
      <c r="D8" s="93"/>
      <c r="E8" s="92">
        <f t="shared" si="6"/>
        <v>43163</v>
      </c>
      <c r="F8" s="93"/>
      <c r="G8" s="92">
        <f t="shared" si="1"/>
        <v>43194</v>
      </c>
      <c r="H8" s="167">
        <f t="shared" si="7"/>
      </c>
      <c r="I8" s="92">
        <f t="shared" si="2"/>
        <v>43224</v>
      </c>
      <c r="J8" s="97">
        <f>IF(I8=$E$43,$C$43,"")</f>
      </c>
      <c r="K8" s="92">
        <f t="shared" si="8"/>
        <v>43255</v>
      </c>
      <c r="L8" s="97">
        <f t="shared" si="0"/>
      </c>
      <c r="M8" s="92">
        <f t="shared" si="9"/>
        <v>43285</v>
      </c>
      <c r="N8" s="93"/>
      <c r="O8" s="92">
        <f t="shared" si="3"/>
        <v>43316</v>
      </c>
      <c r="P8" s="93"/>
      <c r="Q8" s="92">
        <f t="shared" si="10"/>
        <v>43347</v>
      </c>
      <c r="R8" s="93"/>
      <c r="S8" s="92">
        <f t="shared" si="11"/>
        <v>43377</v>
      </c>
      <c r="T8" s="93"/>
      <c r="U8" s="92">
        <f t="shared" si="12"/>
        <v>43408</v>
      </c>
      <c r="V8" s="93"/>
      <c r="W8" s="92">
        <f t="shared" si="13"/>
        <v>43438</v>
      </c>
      <c r="X8" s="96"/>
      <c r="Y8" s="73"/>
      <c r="Z8" s="72"/>
      <c r="AA8" s="73"/>
      <c r="AB8" s="72"/>
      <c r="AC8" s="72"/>
      <c r="AD8" s="73"/>
      <c r="AE8" s="72"/>
      <c r="AF8" s="72"/>
      <c r="AG8" s="73"/>
      <c r="AH8" s="72"/>
    </row>
    <row r="9" spans="1:34" ht="13.5" customHeight="1">
      <c r="A9" s="92">
        <f t="shared" si="4"/>
        <v>43105</v>
      </c>
      <c r="B9" s="93"/>
      <c r="C9" s="92">
        <f t="shared" si="5"/>
        <v>43136</v>
      </c>
      <c r="D9" s="93"/>
      <c r="E9" s="92">
        <f t="shared" si="6"/>
        <v>43164</v>
      </c>
      <c r="F9" s="93"/>
      <c r="G9" s="92">
        <f t="shared" si="1"/>
        <v>43195</v>
      </c>
      <c r="H9" s="167">
        <f t="shared" si="7"/>
      </c>
      <c r="I9" s="92">
        <f t="shared" si="2"/>
        <v>43225</v>
      </c>
      <c r="J9" s="97">
        <f>IF(I9=$E$43,$C$43,"")</f>
      </c>
      <c r="K9" s="92">
        <f t="shared" si="8"/>
        <v>43256</v>
      </c>
      <c r="L9" s="97">
        <f t="shared" si="0"/>
      </c>
      <c r="M9" s="92">
        <f t="shared" si="9"/>
        <v>43286</v>
      </c>
      <c r="N9" s="93"/>
      <c r="O9" s="92">
        <f t="shared" si="3"/>
        <v>43317</v>
      </c>
      <c r="P9" s="93"/>
      <c r="Q9" s="92">
        <f t="shared" si="10"/>
        <v>43348</v>
      </c>
      <c r="R9" s="93"/>
      <c r="S9" s="92">
        <f t="shared" si="11"/>
        <v>43378</v>
      </c>
      <c r="T9" s="93"/>
      <c r="U9" s="92">
        <f t="shared" si="12"/>
        <v>43409</v>
      </c>
      <c r="V9" s="93"/>
      <c r="W9" s="92">
        <f t="shared" si="13"/>
        <v>43439</v>
      </c>
      <c r="X9" s="96"/>
      <c r="Y9" s="73"/>
      <c r="Z9" s="72"/>
      <c r="AA9" s="73"/>
      <c r="AB9" s="72"/>
      <c r="AC9" s="72"/>
      <c r="AD9" s="73"/>
      <c r="AE9" s="72"/>
      <c r="AF9" s="72"/>
      <c r="AG9" s="73"/>
      <c r="AH9" s="72"/>
    </row>
    <row r="10" spans="1:34" ht="13.5" customHeight="1">
      <c r="A10" s="154">
        <f>A9+1</f>
        <v>43106</v>
      </c>
      <c r="B10" s="158" t="s">
        <v>94</v>
      </c>
      <c r="C10" s="92">
        <f t="shared" si="5"/>
        <v>43137</v>
      </c>
      <c r="D10" s="93"/>
      <c r="E10" s="92">
        <f t="shared" si="6"/>
        <v>43165</v>
      </c>
      <c r="F10" s="93"/>
      <c r="G10" s="92">
        <f t="shared" si="1"/>
        <v>43196</v>
      </c>
      <c r="H10" s="167">
        <f t="shared" si="7"/>
      </c>
      <c r="I10" s="92">
        <f t="shared" si="2"/>
        <v>43226</v>
      </c>
      <c r="J10" s="97">
        <f>IF(I10=$E$43,$C$43,"")</f>
      </c>
      <c r="K10" s="92">
        <f t="shared" si="8"/>
        <v>43257</v>
      </c>
      <c r="L10" s="97">
        <f t="shared" si="0"/>
      </c>
      <c r="M10" s="92">
        <f t="shared" si="9"/>
        <v>43287</v>
      </c>
      <c r="N10" s="93"/>
      <c r="O10" s="92">
        <f t="shared" si="3"/>
        <v>43318</v>
      </c>
      <c r="P10" s="93"/>
      <c r="Q10" s="92">
        <f t="shared" si="10"/>
        <v>43349</v>
      </c>
      <c r="R10" s="93"/>
      <c r="S10" s="92">
        <f t="shared" si="11"/>
        <v>43379</v>
      </c>
      <c r="T10" s="93"/>
      <c r="U10" s="92">
        <f t="shared" si="12"/>
        <v>43410</v>
      </c>
      <c r="V10" s="93"/>
      <c r="W10" s="92">
        <f t="shared" si="13"/>
        <v>43440</v>
      </c>
      <c r="X10" s="96"/>
      <c r="Y10" s="73"/>
      <c r="Z10" s="72"/>
      <c r="AA10" s="73"/>
      <c r="AB10" s="72"/>
      <c r="AC10" s="72"/>
      <c r="AD10" s="73"/>
      <c r="AE10" s="72"/>
      <c r="AF10" s="72"/>
      <c r="AG10" s="73"/>
      <c r="AH10" s="72"/>
    </row>
    <row r="11" spans="1:34" ht="13.5" customHeight="1">
      <c r="A11" s="92">
        <f t="shared" si="4"/>
        <v>43107</v>
      </c>
      <c r="B11" s="93"/>
      <c r="C11" s="92">
        <f t="shared" si="5"/>
        <v>43138</v>
      </c>
      <c r="D11" s="93"/>
      <c r="E11" s="92">
        <f t="shared" si="6"/>
        <v>43166</v>
      </c>
      <c r="F11" s="93"/>
      <c r="G11" s="92">
        <f t="shared" si="1"/>
        <v>43197</v>
      </c>
      <c r="H11" s="167">
        <f t="shared" si="7"/>
      </c>
      <c r="I11" s="92">
        <f t="shared" si="2"/>
        <v>43227</v>
      </c>
      <c r="J11" s="97">
        <f>IF(I11=$E$43,$C$43,IF(I11=$E$44,$C$44,IF(I11=$E$45,$C$45,"")))</f>
      </c>
      <c r="K11" s="92">
        <f t="shared" si="8"/>
        <v>43258</v>
      </c>
      <c r="L11" s="97">
        <f t="shared" si="0"/>
      </c>
      <c r="M11" s="92">
        <f t="shared" si="9"/>
        <v>43288</v>
      </c>
      <c r="N11" s="93"/>
      <c r="O11" s="92">
        <f t="shared" si="3"/>
        <v>43319</v>
      </c>
      <c r="P11" s="93"/>
      <c r="Q11" s="92">
        <f t="shared" si="10"/>
        <v>43350</v>
      </c>
      <c r="R11" s="93"/>
      <c r="S11" s="92">
        <f t="shared" si="11"/>
        <v>43380</v>
      </c>
      <c r="T11" s="93"/>
      <c r="U11" s="92">
        <f t="shared" si="12"/>
        <v>43411</v>
      </c>
      <c r="V11" s="93"/>
      <c r="W11" s="92">
        <f t="shared" si="13"/>
        <v>43441</v>
      </c>
      <c r="X11" s="96"/>
      <c r="Y11" s="73"/>
      <c r="Z11" s="72"/>
      <c r="AA11" s="73"/>
      <c r="AB11" s="72"/>
      <c r="AC11" s="72"/>
      <c r="AD11" s="73"/>
      <c r="AE11" s="72"/>
      <c r="AF11" s="72"/>
      <c r="AG11" s="73"/>
      <c r="AH11" s="72"/>
    </row>
    <row r="12" spans="1:34" ht="13.5" customHeight="1">
      <c r="A12" s="92">
        <f t="shared" si="4"/>
        <v>43108</v>
      </c>
      <c r="B12" s="93"/>
      <c r="C12" s="92">
        <f t="shared" si="5"/>
        <v>43139</v>
      </c>
      <c r="D12" s="93"/>
      <c r="E12" s="92">
        <f t="shared" si="6"/>
        <v>43167</v>
      </c>
      <c r="F12" s="93"/>
      <c r="G12" s="92">
        <f t="shared" si="1"/>
        <v>43198</v>
      </c>
      <c r="H12" s="167">
        <f t="shared" si="7"/>
      </c>
      <c r="I12" s="92">
        <f t="shared" si="2"/>
        <v>43228</v>
      </c>
      <c r="J12" s="97">
        <f aca="true" t="shared" si="14" ref="J12:J19">IF(I12=$E$43,$C$43,IF(I12=$E$44,$C$44,IF(I12=$E$45,$C$45,"")))</f>
      </c>
      <c r="K12" s="92">
        <f t="shared" si="8"/>
        <v>43259</v>
      </c>
      <c r="L12" s="97">
        <f t="shared" si="0"/>
      </c>
      <c r="M12" s="92">
        <f t="shared" si="9"/>
        <v>43289</v>
      </c>
      <c r="N12" s="93"/>
      <c r="O12" s="92">
        <f t="shared" si="3"/>
        <v>43320</v>
      </c>
      <c r="P12" s="93"/>
      <c r="Q12" s="92">
        <f t="shared" si="10"/>
        <v>43351</v>
      </c>
      <c r="R12" s="93"/>
      <c r="S12" s="92">
        <f t="shared" si="11"/>
        <v>43381</v>
      </c>
      <c r="T12" s="93"/>
      <c r="U12" s="92">
        <f t="shared" si="12"/>
        <v>43412</v>
      </c>
      <c r="V12" s="93"/>
      <c r="W12" s="92">
        <f t="shared" si="13"/>
        <v>43442</v>
      </c>
      <c r="X12" s="96"/>
      <c r="Y12" s="73"/>
      <c r="Z12" s="72"/>
      <c r="AA12" s="73"/>
      <c r="AB12" s="72"/>
      <c r="AC12" s="72"/>
      <c r="AD12" s="73"/>
      <c r="AE12" s="72"/>
      <c r="AF12" s="72"/>
      <c r="AG12" s="73"/>
      <c r="AH12" s="72"/>
    </row>
    <row r="13" spans="1:34" ht="13.5" customHeight="1">
      <c r="A13" s="92">
        <f t="shared" si="4"/>
        <v>43109</v>
      </c>
      <c r="B13" s="93"/>
      <c r="C13" s="92">
        <f t="shared" si="5"/>
        <v>43140</v>
      </c>
      <c r="D13" s="93"/>
      <c r="E13" s="92">
        <f t="shared" si="6"/>
        <v>43168</v>
      </c>
      <c r="F13" s="93"/>
      <c r="G13" s="92">
        <f t="shared" si="1"/>
        <v>43199</v>
      </c>
      <c r="H13" s="167">
        <f t="shared" si="7"/>
      </c>
      <c r="I13" s="92">
        <f t="shared" si="2"/>
        <v>43229</v>
      </c>
      <c r="J13" s="97">
        <f t="shared" si="14"/>
      </c>
      <c r="K13" s="92">
        <f t="shared" si="8"/>
        <v>43260</v>
      </c>
      <c r="L13" s="97">
        <f t="shared" si="0"/>
      </c>
      <c r="M13" s="92">
        <f t="shared" si="9"/>
        <v>43290</v>
      </c>
      <c r="N13" s="93"/>
      <c r="O13" s="92">
        <f t="shared" si="3"/>
        <v>43321</v>
      </c>
      <c r="P13" s="93"/>
      <c r="Q13" s="92">
        <f t="shared" si="10"/>
        <v>43352</v>
      </c>
      <c r="R13" s="93"/>
      <c r="S13" s="92">
        <f t="shared" si="11"/>
        <v>43382</v>
      </c>
      <c r="T13" s="93"/>
      <c r="U13" s="92">
        <f t="shared" si="12"/>
        <v>43413</v>
      </c>
      <c r="V13" s="93"/>
      <c r="W13" s="92">
        <f t="shared" si="13"/>
        <v>43443</v>
      </c>
      <c r="X13" s="96"/>
      <c r="Y13" s="73"/>
      <c r="Z13" s="72"/>
      <c r="AA13" s="73"/>
      <c r="AB13" s="72"/>
      <c r="AC13" s="72"/>
      <c r="AD13" s="73"/>
      <c r="AE13" s="72"/>
      <c r="AF13" s="72"/>
      <c r="AG13" s="73"/>
      <c r="AH13" s="72"/>
    </row>
    <row r="14" spans="1:34" ht="13.5" customHeight="1">
      <c r="A14" s="92">
        <f t="shared" si="4"/>
        <v>43110</v>
      </c>
      <c r="B14" s="93"/>
      <c r="C14" s="92">
        <f t="shared" si="5"/>
        <v>43141</v>
      </c>
      <c r="D14" s="93"/>
      <c r="E14" s="92">
        <f t="shared" si="6"/>
        <v>43169</v>
      </c>
      <c r="F14" s="93"/>
      <c r="G14" s="92">
        <f t="shared" si="1"/>
        <v>43200</v>
      </c>
      <c r="H14" s="167">
        <f t="shared" si="7"/>
      </c>
      <c r="I14" s="92">
        <f t="shared" si="2"/>
        <v>43230</v>
      </c>
      <c r="J14" s="97" t="str">
        <f t="shared" si="14"/>
        <v>Chr. Himmelfahrt</v>
      </c>
      <c r="K14" s="92">
        <f t="shared" si="8"/>
        <v>43261</v>
      </c>
      <c r="L14" s="97">
        <f t="shared" si="0"/>
      </c>
      <c r="M14" s="92">
        <f t="shared" si="9"/>
        <v>43291</v>
      </c>
      <c r="N14" s="93"/>
      <c r="O14" s="92">
        <f t="shared" si="3"/>
        <v>43322</v>
      </c>
      <c r="P14" s="93"/>
      <c r="Q14" s="92">
        <f t="shared" si="10"/>
        <v>43353</v>
      </c>
      <c r="R14" s="93"/>
      <c r="S14" s="92">
        <f t="shared" si="11"/>
        <v>43383</v>
      </c>
      <c r="T14" s="93"/>
      <c r="U14" s="92">
        <f t="shared" si="12"/>
        <v>43414</v>
      </c>
      <c r="V14" s="93"/>
      <c r="W14" s="92">
        <f t="shared" si="13"/>
        <v>43444</v>
      </c>
      <c r="X14" s="96"/>
      <c r="Y14" s="73"/>
      <c r="Z14" s="72"/>
      <c r="AA14" s="73"/>
      <c r="AB14" s="72"/>
      <c r="AC14" s="72"/>
      <c r="AD14" s="73"/>
      <c r="AE14" s="72"/>
      <c r="AF14" s="72"/>
      <c r="AG14" s="73"/>
      <c r="AH14" s="72"/>
    </row>
    <row r="15" spans="1:34" ht="13.5" customHeight="1">
      <c r="A15" s="92">
        <f t="shared" si="4"/>
        <v>43111</v>
      </c>
      <c r="B15" s="93"/>
      <c r="C15" s="92">
        <f t="shared" si="5"/>
        <v>43142</v>
      </c>
      <c r="D15" s="93"/>
      <c r="E15" s="92">
        <f t="shared" si="6"/>
        <v>43170</v>
      </c>
      <c r="F15" s="93"/>
      <c r="G15" s="92">
        <f t="shared" si="1"/>
        <v>43201</v>
      </c>
      <c r="H15" s="167">
        <f t="shared" si="7"/>
      </c>
      <c r="I15" s="92">
        <f t="shared" si="2"/>
        <v>43231</v>
      </c>
      <c r="J15" s="97">
        <f t="shared" si="14"/>
      </c>
      <c r="K15" s="92">
        <f t="shared" si="8"/>
        <v>43262</v>
      </c>
      <c r="L15" s="97">
        <f t="shared" si="0"/>
      </c>
      <c r="M15" s="92">
        <f t="shared" si="9"/>
        <v>43292</v>
      </c>
      <c r="N15" s="93"/>
      <c r="O15" s="92">
        <f t="shared" si="3"/>
        <v>43323</v>
      </c>
      <c r="P15" s="93"/>
      <c r="Q15" s="92">
        <f t="shared" si="10"/>
        <v>43354</v>
      </c>
      <c r="R15" s="93"/>
      <c r="S15" s="92">
        <f t="shared" si="11"/>
        <v>43384</v>
      </c>
      <c r="T15" s="93"/>
      <c r="U15" s="92">
        <f t="shared" si="12"/>
        <v>43415</v>
      </c>
      <c r="V15" s="93"/>
      <c r="W15" s="92">
        <f t="shared" si="13"/>
        <v>43445</v>
      </c>
      <c r="X15" s="96"/>
      <c r="Y15" s="73"/>
      <c r="Z15" s="72"/>
      <c r="AA15" s="73"/>
      <c r="AB15" s="72"/>
      <c r="AC15" s="72"/>
      <c r="AD15" s="73"/>
      <c r="AE15" s="72"/>
      <c r="AF15" s="72"/>
      <c r="AG15" s="73"/>
      <c r="AH15" s="72"/>
    </row>
    <row r="16" spans="1:34" ht="13.5" customHeight="1">
      <c r="A16" s="92">
        <f t="shared" si="4"/>
        <v>43112</v>
      </c>
      <c r="B16" s="93"/>
      <c r="C16" s="92">
        <f t="shared" si="5"/>
        <v>43143</v>
      </c>
      <c r="D16" s="93"/>
      <c r="E16" s="92">
        <f t="shared" si="6"/>
        <v>43171</v>
      </c>
      <c r="F16" s="93"/>
      <c r="G16" s="92">
        <f t="shared" si="1"/>
        <v>43202</v>
      </c>
      <c r="H16" s="167">
        <f t="shared" si="7"/>
      </c>
      <c r="I16" s="92">
        <f t="shared" si="2"/>
        <v>43232</v>
      </c>
      <c r="J16" s="97">
        <f t="shared" si="14"/>
      </c>
      <c r="K16" s="92">
        <f t="shared" si="8"/>
        <v>43263</v>
      </c>
      <c r="L16" s="97">
        <f t="shared" si="0"/>
      </c>
      <c r="M16" s="92">
        <f t="shared" si="9"/>
        <v>43293</v>
      </c>
      <c r="N16" s="93"/>
      <c r="O16" s="92">
        <f t="shared" si="3"/>
        <v>43324</v>
      </c>
      <c r="P16" s="93"/>
      <c r="Q16" s="92">
        <f t="shared" si="10"/>
        <v>43355</v>
      </c>
      <c r="R16" s="93"/>
      <c r="S16" s="92">
        <f t="shared" si="11"/>
        <v>43385</v>
      </c>
      <c r="T16" s="93"/>
      <c r="U16" s="92">
        <f t="shared" si="12"/>
        <v>43416</v>
      </c>
      <c r="V16" s="93"/>
      <c r="W16" s="92">
        <f t="shared" si="13"/>
        <v>43446</v>
      </c>
      <c r="X16" s="96"/>
      <c r="Y16" s="73"/>
      <c r="Z16" s="72"/>
      <c r="AA16" s="73"/>
      <c r="AB16" s="72"/>
      <c r="AC16" s="72"/>
      <c r="AD16" s="73"/>
      <c r="AE16" s="72"/>
      <c r="AF16" s="72"/>
      <c r="AG16" s="73"/>
      <c r="AH16" s="72"/>
    </row>
    <row r="17" spans="1:34" ht="13.5" customHeight="1">
      <c r="A17" s="92">
        <f t="shared" si="4"/>
        <v>43113</v>
      </c>
      <c r="B17" s="93"/>
      <c r="C17" s="92">
        <f t="shared" si="5"/>
        <v>43144</v>
      </c>
      <c r="D17" s="93"/>
      <c r="E17" s="92">
        <f t="shared" si="6"/>
        <v>43172</v>
      </c>
      <c r="F17" s="93"/>
      <c r="G17" s="92">
        <f t="shared" si="1"/>
        <v>43203</v>
      </c>
      <c r="H17" s="167">
        <f t="shared" si="7"/>
      </c>
      <c r="I17" s="92">
        <f t="shared" si="2"/>
        <v>43233</v>
      </c>
      <c r="J17" s="97">
        <f t="shared" si="14"/>
      </c>
      <c r="K17" s="92">
        <f t="shared" si="8"/>
        <v>43264</v>
      </c>
      <c r="L17" s="97">
        <f t="shared" si="0"/>
      </c>
      <c r="M17" s="92">
        <f t="shared" si="9"/>
        <v>43294</v>
      </c>
      <c r="N17" s="93"/>
      <c r="O17" s="92">
        <f t="shared" si="3"/>
        <v>43325</v>
      </c>
      <c r="P17" s="93"/>
      <c r="Q17" s="92">
        <f t="shared" si="10"/>
        <v>43356</v>
      </c>
      <c r="R17" s="93"/>
      <c r="S17" s="92">
        <f t="shared" si="11"/>
        <v>43386</v>
      </c>
      <c r="T17" s="93"/>
      <c r="U17" s="92">
        <f t="shared" si="12"/>
        <v>43417</v>
      </c>
      <c r="V17" s="158"/>
      <c r="W17" s="92">
        <f t="shared" si="13"/>
        <v>43447</v>
      </c>
      <c r="X17" s="96"/>
      <c r="Y17" s="73"/>
      <c r="Z17" s="72"/>
      <c r="AA17" s="73"/>
      <c r="AB17" s="72"/>
      <c r="AC17" s="72"/>
      <c r="AD17" s="73"/>
      <c r="AE17" s="74"/>
      <c r="AF17" s="72"/>
      <c r="AG17" s="73"/>
      <c r="AH17" s="72"/>
    </row>
    <row r="18" spans="1:34" ht="13.5" customHeight="1">
      <c r="A18" s="92">
        <f t="shared" si="4"/>
        <v>43114</v>
      </c>
      <c r="B18" s="93"/>
      <c r="C18" s="92">
        <f t="shared" si="5"/>
        <v>43145</v>
      </c>
      <c r="D18" s="93"/>
      <c r="E18" s="92">
        <f t="shared" si="6"/>
        <v>43173</v>
      </c>
      <c r="F18" s="93"/>
      <c r="G18" s="92">
        <f t="shared" si="1"/>
        <v>43204</v>
      </c>
      <c r="H18" s="167">
        <f t="shared" si="7"/>
      </c>
      <c r="I18" s="92">
        <f t="shared" si="2"/>
        <v>43234</v>
      </c>
      <c r="J18" s="97">
        <f t="shared" si="14"/>
      </c>
      <c r="K18" s="92">
        <f t="shared" si="8"/>
        <v>43265</v>
      </c>
      <c r="L18" s="97">
        <f t="shared" si="0"/>
      </c>
      <c r="M18" s="92">
        <f t="shared" si="9"/>
        <v>43295</v>
      </c>
      <c r="N18" s="93"/>
      <c r="O18" s="92">
        <f t="shared" si="3"/>
        <v>43326</v>
      </c>
      <c r="P18" s="93"/>
      <c r="Q18" s="92">
        <f t="shared" si="10"/>
        <v>43357</v>
      </c>
      <c r="R18" s="93"/>
      <c r="S18" s="92">
        <f t="shared" si="11"/>
        <v>43387</v>
      </c>
      <c r="T18" s="93"/>
      <c r="U18" s="92">
        <f t="shared" si="12"/>
        <v>43418</v>
      </c>
      <c r="V18" s="158"/>
      <c r="W18" s="92">
        <f t="shared" si="13"/>
        <v>43448</v>
      </c>
      <c r="X18" s="96"/>
      <c r="Y18" s="73"/>
      <c r="Z18" s="72"/>
      <c r="AA18" s="73"/>
      <c r="AB18" s="72"/>
      <c r="AC18" s="72"/>
      <c r="AD18" s="73"/>
      <c r="AE18" s="74"/>
      <c r="AF18" s="72"/>
      <c r="AG18" s="73"/>
      <c r="AH18" s="72"/>
    </row>
    <row r="19" spans="1:34" ht="13.5" customHeight="1">
      <c r="A19" s="92">
        <f t="shared" si="4"/>
        <v>43115</v>
      </c>
      <c r="B19" s="93"/>
      <c r="C19" s="92">
        <f t="shared" si="5"/>
        <v>43146</v>
      </c>
      <c r="D19" s="93"/>
      <c r="E19" s="92">
        <f t="shared" si="6"/>
        <v>43174</v>
      </c>
      <c r="F19" s="93"/>
      <c r="G19" s="92">
        <f t="shared" si="1"/>
        <v>43205</v>
      </c>
      <c r="H19" s="167">
        <f t="shared" si="7"/>
      </c>
      <c r="I19" s="92">
        <f t="shared" si="2"/>
        <v>43235</v>
      </c>
      <c r="J19" s="97">
        <f t="shared" si="14"/>
      </c>
      <c r="K19" s="92">
        <f t="shared" si="8"/>
        <v>43266</v>
      </c>
      <c r="L19" s="97">
        <f t="shared" si="0"/>
      </c>
      <c r="M19" s="92">
        <f t="shared" si="9"/>
        <v>43296</v>
      </c>
      <c r="N19" s="93"/>
      <c r="O19" s="154">
        <f t="shared" si="3"/>
        <v>43327</v>
      </c>
      <c r="P19" s="97" t="s">
        <v>93</v>
      </c>
      <c r="Q19" s="92">
        <f t="shared" si="10"/>
        <v>43358</v>
      </c>
      <c r="R19" s="93"/>
      <c r="S19" s="92">
        <f t="shared" si="11"/>
        <v>43388</v>
      </c>
      <c r="T19" s="93"/>
      <c r="U19" s="92">
        <f t="shared" si="12"/>
        <v>43419</v>
      </c>
      <c r="V19" s="158"/>
      <c r="W19" s="92">
        <f t="shared" si="13"/>
        <v>43449</v>
      </c>
      <c r="X19" s="96"/>
      <c r="Y19" s="73"/>
      <c r="Z19" s="72"/>
      <c r="AA19" s="73"/>
      <c r="AB19" s="72"/>
      <c r="AC19" s="72"/>
      <c r="AD19" s="73"/>
      <c r="AE19" s="74"/>
      <c r="AF19" s="72"/>
      <c r="AG19" s="73"/>
      <c r="AH19" s="72"/>
    </row>
    <row r="20" spans="1:34" ht="13.5" customHeight="1">
      <c r="A20" s="92">
        <f t="shared" si="4"/>
        <v>43116</v>
      </c>
      <c r="B20" s="93"/>
      <c r="C20" s="92">
        <f t="shared" si="5"/>
        <v>43147</v>
      </c>
      <c r="D20" s="93"/>
      <c r="E20" s="92">
        <f t="shared" si="6"/>
        <v>43175</v>
      </c>
      <c r="F20" s="93"/>
      <c r="G20" s="92">
        <f t="shared" si="1"/>
        <v>43206</v>
      </c>
      <c r="H20" s="167">
        <f t="shared" si="7"/>
      </c>
      <c r="I20" s="92">
        <f t="shared" si="2"/>
        <v>43236</v>
      </c>
      <c r="J20" s="97">
        <f>IF(I20=$E$43,$C$43,IF(I20=$E$44,$C$44,IF(I20=$E$45,$C$45,IF(I20=$E$46,$C$46,""))))</f>
      </c>
      <c r="K20" s="92">
        <f t="shared" si="8"/>
        <v>43267</v>
      </c>
      <c r="L20" s="97">
        <f t="shared" si="0"/>
      </c>
      <c r="M20" s="92">
        <f t="shared" si="9"/>
        <v>43297</v>
      </c>
      <c r="N20" s="93"/>
      <c r="O20" s="92">
        <f t="shared" si="3"/>
        <v>43328</v>
      </c>
      <c r="P20" s="93"/>
      <c r="Q20" s="92">
        <f t="shared" si="10"/>
        <v>43359</v>
      </c>
      <c r="R20" s="93"/>
      <c r="S20" s="92">
        <f t="shared" si="11"/>
        <v>43389</v>
      </c>
      <c r="T20" s="93"/>
      <c r="U20" s="92">
        <f aca="true" t="shared" si="15" ref="U20:U34">U19+1</f>
        <v>43420</v>
      </c>
      <c r="V20" s="158">
        <f aca="true" t="shared" si="16" ref="V20:V26">IF(WEEKDAY(U20)=4,"Buß und Bettag","")</f>
      </c>
      <c r="W20" s="92">
        <f t="shared" si="13"/>
        <v>43450</v>
      </c>
      <c r="X20" s="96"/>
      <c r="Y20" s="73"/>
      <c r="Z20" s="72"/>
      <c r="AA20" s="73"/>
      <c r="AB20" s="72"/>
      <c r="AC20" s="72"/>
      <c r="AD20" s="73"/>
      <c r="AE20" s="74"/>
      <c r="AF20" s="72"/>
      <c r="AG20" s="73"/>
      <c r="AH20" s="72"/>
    </row>
    <row r="21" spans="1:34" ht="13.5" customHeight="1">
      <c r="A21" s="92">
        <f t="shared" si="4"/>
        <v>43117</v>
      </c>
      <c r="B21" s="93"/>
      <c r="C21" s="92">
        <f t="shared" si="5"/>
        <v>43148</v>
      </c>
      <c r="D21" s="93"/>
      <c r="E21" s="92">
        <f t="shared" si="6"/>
        <v>43176</v>
      </c>
      <c r="F21" s="93"/>
      <c r="G21" s="92">
        <f t="shared" si="1"/>
        <v>43207</v>
      </c>
      <c r="H21" s="167">
        <f t="shared" si="7"/>
      </c>
      <c r="I21" s="92">
        <f t="shared" si="2"/>
        <v>43237</v>
      </c>
      <c r="J21" s="97">
        <f aca="true" t="shared" si="17" ref="J21:J35">IF(I21=$E$43,$C$43,IF(I21=$E$44,$C$44,IF(I21=$E$45,$C$45,IF(I21=$E$46,$C$46,""))))</f>
      </c>
      <c r="K21" s="92">
        <f t="shared" si="8"/>
        <v>43268</v>
      </c>
      <c r="L21" s="97">
        <f t="shared" si="0"/>
      </c>
      <c r="M21" s="92">
        <f t="shared" si="9"/>
        <v>43298</v>
      </c>
      <c r="N21" s="93"/>
      <c r="O21" s="92">
        <f t="shared" si="3"/>
        <v>43329</v>
      </c>
      <c r="P21" s="93"/>
      <c r="Q21" s="92">
        <f t="shared" si="10"/>
        <v>43360</v>
      </c>
      <c r="R21" s="93"/>
      <c r="S21" s="92">
        <f t="shared" si="11"/>
        <v>43390</v>
      </c>
      <c r="T21" s="93"/>
      <c r="U21" s="92">
        <f t="shared" si="15"/>
        <v>43421</v>
      </c>
      <c r="V21" s="158">
        <f t="shared" si="16"/>
      </c>
      <c r="W21" s="92">
        <f t="shared" si="13"/>
        <v>43451</v>
      </c>
      <c r="X21" s="96"/>
      <c r="Y21" s="73"/>
      <c r="Z21" s="72"/>
      <c r="AA21" s="73"/>
      <c r="AB21" s="72"/>
      <c r="AC21" s="72"/>
      <c r="AD21" s="73"/>
      <c r="AE21" s="74"/>
      <c r="AF21" s="72"/>
      <c r="AG21" s="73"/>
      <c r="AH21" s="72"/>
    </row>
    <row r="22" spans="1:34" ht="13.5" customHeight="1">
      <c r="A22" s="92">
        <f t="shared" si="4"/>
        <v>43118</v>
      </c>
      <c r="B22" s="93"/>
      <c r="C22" s="92">
        <f t="shared" si="5"/>
        <v>43149</v>
      </c>
      <c r="D22" s="93"/>
      <c r="E22" s="92">
        <f t="shared" si="6"/>
        <v>43177</v>
      </c>
      <c r="F22" s="93"/>
      <c r="G22" s="92">
        <f t="shared" si="1"/>
        <v>43208</v>
      </c>
      <c r="H22" s="167">
        <f t="shared" si="7"/>
      </c>
      <c r="I22" s="92">
        <f t="shared" si="2"/>
        <v>43238</v>
      </c>
      <c r="J22" s="97">
        <f t="shared" si="17"/>
      </c>
      <c r="K22" s="92">
        <f t="shared" si="8"/>
        <v>43269</v>
      </c>
      <c r="L22" s="97">
        <f t="shared" si="0"/>
      </c>
      <c r="M22" s="92">
        <f t="shared" si="9"/>
        <v>43299</v>
      </c>
      <c r="N22" s="93"/>
      <c r="O22" s="92">
        <f t="shared" si="3"/>
        <v>43330</v>
      </c>
      <c r="P22" s="93"/>
      <c r="Q22" s="92">
        <f t="shared" si="10"/>
        <v>43361</v>
      </c>
      <c r="R22" s="93"/>
      <c r="S22" s="92">
        <f t="shared" si="11"/>
        <v>43391</v>
      </c>
      <c r="T22" s="93"/>
      <c r="U22" s="92">
        <f t="shared" si="15"/>
        <v>43422</v>
      </c>
      <c r="V22" s="158">
        <f t="shared" si="16"/>
      </c>
      <c r="W22" s="92">
        <f t="shared" si="13"/>
        <v>43452</v>
      </c>
      <c r="X22" s="96"/>
      <c r="Y22" s="73"/>
      <c r="Z22" s="72"/>
      <c r="AA22" s="73"/>
      <c r="AB22" s="72"/>
      <c r="AC22" s="72"/>
      <c r="AD22" s="73"/>
      <c r="AE22" s="74"/>
      <c r="AF22" s="72"/>
      <c r="AG22" s="73"/>
      <c r="AH22" s="72"/>
    </row>
    <row r="23" spans="1:34" ht="13.5" customHeight="1">
      <c r="A23" s="92">
        <f t="shared" si="4"/>
        <v>43119</v>
      </c>
      <c r="B23" s="93"/>
      <c r="C23" s="92">
        <f t="shared" si="5"/>
        <v>43150</v>
      </c>
      <c r="D23" s="93"/>
      <c r="E23" s="92">
        <f t="shared" si="6"/>
        <v>43178</v>
      </c>
      <c r="F23" s="93"/>
      <c r="G23" s="92">
        <f t="shared" si="1"/>
        <v>43209</v>
      </c>
      <c r="H23" s="167">
        <f t="shared" si="7"/>
      </c>
      <c r="I23" s="92">
        <f t="shared" si="2"/>
        <v>43239</v>
      </c>
      <c r="J23" s="97">
        <f t="shared" si="17"/>
      </c>
      <c r="K23" s="92">
        <f t="shared" si="8"/>
        <v>43270</v>
      </c>
      <c r="L23" s="97">
        <f t="shared" si="0"/>
      </c>
      <c r="M23" s="92">
        <f t="shared" si="9"/>
        <v>43300</v>
      </c>
      <c r="N23" s="93"/>
      <c r="O23" s="92">
        <f t="shared" si="3"/>
        <v>43331</v>
      </c>
      <c r="P23" s="93"/>
      <c r="Q23" s="92">
        <f t="shared" si="10"/>
        <v>43362</v>
      </c>
      <c r="R23" s="93"/>
      <c r="S23" s="92">
        <f t="shared" si="11"/>
        <v>43392</v>
      </c>
      <c r="T23" s="93"/>
      <c r="U23" s="92">
        <f t="shared" si="15"/>
        <v>43423</v>
      </c>
      <c r="V23" s="158">
        <f t="shared" si="16"/>
      </c>
      <c r="W23" s="92">
        <f t="shared" si="13"/>
        <v>43453</v>
      </c>
      <c r="X23" s="96"/>
      <c r="Y23" s="73"/>
      <c r="Z23" s="72"/>
      <c r="AA23" s="73"/>
      <c r="AB23" s="72"/>
      <c r="AC23" s="72"/>
      <c r="AD23" s="73"/>
      <c r="AE23" s="74"/>
      <c r="AF23" s="72"/>
      <c r="AG23" s="73"/>
      <c r="AH23" s="72"/>
    </row>
    <row r="24" spans="1:34" ht="13.5" customHeight="1">
      <c r="A24" s="92">
        <f t="shared" si="4"/>
        <v>43120</v>
      </c>
      <c r="B24" s="93"/>
      <c r="C24" s="92">
        <f t="shared" si="5"/>
        <v>43151</v>
      </c>
      <c r="D24" s="93"/>
      <c r="E24" s="161">
        <f aca="true" t="shared" si="18" ref="E24:E35">E23+1</f>
        <v>43179</v>
      </c>
      <c r="F24" s="167"/>
      <c r="G24" s="92">
        <f t="shared" si="1"/>
        <v>43210</v>
      </c>
      <c r="H24" s="167">
        <f t="shared" si="7"/>
      </c>
      <c r="I24" s="92">
        <f t="shared" si="2"/>
        <v>43240</v>
      </c>
      <c r="J24" s="97" t="str">
        <f t="shared" si="17"/>
        <v>Pfingstsonntag</v>
      </c>
      <c r="K24" s="92">
        <f t="shared" si="8"/>
        <v>43271</v>
      </c>
      <c r="L24" s="97">
        <f t="shared" si="0"/>
      </c>
      <c r="M24" s="92">
        <f t="shared" si="9"/>
        <v>43301</v>
      </c>
      <c r="N24" s="93"/>
      <c r="O24" s="92">
        <f t="shared" si="3"/>
        <v>43332</v>
      </c>
      <c r="P24" s="93"/>
      <c r="Q24" s="92">
        <f t="shared" si="10"/>
        <v>43363</v>
      </c>
      <c r="R24" s="93"/>
      <c r="S24" s="92">
        <f t="shared" si="11"/>
        <v>43393</v>
      </c>
      <c r="T24" s="93"/>
      <c r="U24" s="92">
        <f t="shared" si="15"/>
        <v>43424</v>
      </c>
      <c r="V24" s="158">
        <f t="shared" si="16"/>
      </c>
      <c r="W24" s="92">
        <f t="shared" si="13"/>
        <v>43454</v>
      </c>
      <c r="X24" s="96"/>
      <c r="Y24" s="73"/>
      <c r="Z24" s="72"/>
      <c r="AA24" s="73"/>
      <c r="AB24" s="72"/>
      <c r="AC24" s="72"/>
      <c r="AD24" s="73"/>
      <c r="AE24" s="72"/>
      <c r="AF24" s="72"/>
      <c r="AG24" s="73"/>
      <c r="AH24" s="72"/>
    </row>
    <row r="25" spans="1:34" ht="13.5" customHeight="1">
      <c r="A25" s="92">
        <f t="shared" si="4"/>
        <v>43121</v>
      </c>
      <c r="B25" s="93"/>
      <c r="C25" s="92">
        <f t="shared" si="5"/>
        <v>43152</v>
      </c>
      <c r="D25" s="93"/>
      <c r="E25" s="161">
        <f t="shared" si="18"/>
        <v>43180</v>
      </c>
      <c r="F25" s="167"/>
      <c r="G25" s="92">
        <f t="shared" si="1"/>
        <v>43211</v>
      </c>
      <c r="H25" s="167">
        <f t="shared" si="7"/>
      </c>
      <c r="I25" s="92">
        <f t="shared" si="2"/>
        <v>43241</v>
      </c>
      <c r="J25" s="97" t="str">
        <f t="shared" si="17"/>
        <v>Pfingstmontag</v>
      </c>
      <c r="K25" s="92">
        <f t="shared" si="8"/>
        <v>43272</v>
      </c>
      <c r="L25" s="97">
        <f t="shared" si="0"/>
      </c>
      <c r="M25" s="92">
        <f t="shared" si="9"/>
        <v>43302</v>
      </c>
      <c r="N25" s="93"/>
      <c r="O25" s="92">
        <f t="shared" si="3"/>
        <v>43333</v>
      </c>
      <c r="P25" s="93"/>
      <c r="Q25" s="92">
        <f t="shared" si="10"/>
        <v>43364</v>
      </c>
      <c r="R25" s="93"/>
      <c r="S25" s="92">
        <f t="shared" si="11"/>
        <v>43394</v>
      </c>
      <c r="T25" s="93"/>
      <c r="U25" s="92">
        <f t="shared" si="15"/>
        <v>43425</v>
      </c>
      <c r="V25" s="158" t="str">
        <f t="shared" si="16"/>
        <v>Buß und Bettag</v>
      </c>
      <c r="W25" s="92">
        <f t="shared" si="13"/>
        <v>43455</v>
      </c>
      <c r="X25" s="96"/>
      <c r="Y25" s="73"/>
      <c r="Z25" s="72"/>
      <c r="AA25" s="73"/>
      <c r="AB25" s="72"/>
      <c r="AC25" s="72"/>
      <c r="AD25" s="73"/>
      <c r="AE25" s="72"/>
      <c r="AF25" s="72"/>
      <c r="AG25" s="73"/>
      <c r="AH25" s="72"/>
    </row>
    <row r="26" spans="1:34" ht="13.5" customHeight="1">
      <c r="A26" s="92">
        <f t="shared" si="4"/>
        <v>43122</v>
      </c>
      <c r="B26" s="93"/>
      <c r="C26" s="92">
        <f t="shared" si="5"/>
        <v>43153</v>
      </c>
      <c r="D26" s="93"/>
      <c r="E26" s="161">
        <f t="shared" si="18"/>
        <v>43181</v>
      </c>
      <c r="F26" s="167">
        <f aca="true" t="shared" si="19" ref="F26:F35">IF(E26=$E$40,$C$40,IF(E26=$E$41,$C$41,IF(E26=$E$42,$C$42,"")))</f>
      </c>
      <c r="G26" s="92">
        <f t="shared" si="1"/>
        <v>43212</v>
      </c>
      <c r="H26" s="167">
        <f t="shared" si="7"/>
      </c>
      <c r="I26" s="92">
        <f t="shared" si="2"/>
        <v>43242</v>
      </c>
      <c r="J26" s="97">
        <f t="shared" si="17"/>
      </c>
      <c r="K26" s="92">
        <f t="shared" si="8"/>
        <v>43273</v>
      </c>
      <c r="L26" s="97">
        <f t="shared" si="0"/>
      </c>
      <c r="M26" s="92">
        <f t="shared" si="9"/>
        <v>43303</v>
      </c>
      <c r="N26" s="93"/>
      <c r="O26" s="92">
        <f t="shared" si="3"/>
        <v>43334</v>
      </c>
      <c r="P26" s="93"/>
      <c r="Q26" s="92">
        <f t="shared" si="10"/>
        <v>43365</v>
      </c>
      <c r="R26" s="93"/>
      <c r="S26" s="92">
        <f t="shared" si="11"/>
        <v>43395</v>
      </c>
      <c r="T26" s="93"/>
      <c r="U26" s="92">
        <f t="shared" si="15"/>
        <v>43426</v>
      </c>
      <c r="V26" s="158">
        <f t="shared" si="16"/>
      </c>
      <c r="W26" s="92">
        <f t="shared" si="13"/>
        <v>43456</v>
      </c>
      <c r="X26" s="96"/>
      <c r="Y26" s="73"/>
      <c r="Z26" s="72"/>
      <c r="AA26" s="73"/>
      <c r="AB26" s="72"/>
      <c r="AC26" s="72"/>
      <c r="AD26" s="73"/>
      <c r="AE26" s="72"/>
      <c r="AF26" s="72"/>
      <c r="AG26" s="73"/>
      <c r="AH26" s="72"/>
    </row>
    <row r="27" spans="1:34" ht="13.5" customHeight="1">
      <c r="A27" s="92">
        <f t="shared" si="4"/>
        <v>43123</v>
      </c>
      <c r="B27" s="93"/>
      <c r="C27" s="92">
        <f t="shared" si="5"/>
        <v>43154</v>
      </c>
      <c r="D27" s="93"/>
      <c r="E27" s="92">
        <f t="shared" si="18"/>
        <v>43182</v>
      </c>
      <c r="F27" s="167">
        <f t="shared" si="19"/>
      </c>
      <c r="G27" s="92">
        <f t="shared" si="1"/>
        <v>43213</v>
      </c>
      <c r="H27" s="167">
        <f t="shared" si="7"/>
      </c>
      <c r="I27" s="92">
        <f t="shared" si="2"/>
        <v>43243</v>
      </c>
      <c r="J27" s="97">
        <f t="shared" si="17"/>
      </c>
      <c r="K27" s="92">
        <f t="shared" si="8"/>
        <v>43274</v>
      </c>
      <c r="L27" s="97">
        <f t="shared" si="0"/>
      </c>
      <c r="M27" s="92">
        <f t="shared" si="9"/>
        <v>43304</v>
      </c>
      <c r="N27" s="93"/>
      <c r="O27" s="92">
        <f t="shared" si="3"/>
        <v>43335</v>
      </c>
      <c r="P27" s="93"/>
      <c r="Q27" s="92">
        <f t="shared" si="10"/>
        <v>43366</v>
      </c>
      <c r="R27" s="93"/>
      <c r="S27" s="92">
        <f t="shared" si="11"/>
        <v>43396</v>
      </c>
      <c r="T27" s="93"/>
      <c r="U27" s="92">
        <f t="shared" si="15"/>
        <v>43427</v>
      </c>
      <c r="V27" s="93"/>
      <c r="W27" s="92">
        <f t="shared" si="13"/>
        <v>43457</v>
      </c>
      <c r="X27" s="96"/>
      <c r="Y27" s="73"/>
      <c r="Z27" s="72"/>
      <c r="AA27" s="73"/>
      <c r="AB27" s="72"/>
      <c r="AC27" s="72"/>
      <c r="AD27" s="73"/>
      <c r="AE27" s="72"/>
      <c r="AF27" s="72"/>
      <c r="AG27" s="73"/>
      <c r="AH27" s="72"/>
    </row>
    <row r="28" spans="1:34" ht="13.5" customHeight="1">
      <c r="A28" s="92">
        <f t="shared" si="4"/>
        <v>43124</v>
      </c>
      <c r="B28" s="93"/>
      <c r="C28" s="92">
        <f t="shared" si="5"/>
        <v>43155</v>
      </c>
      <c r="D28" s="93"/>
      <c r="E28" s="92">
        <f t="shared" si="18"/>
        <v>43183</v>
      </c>
      <c r="F28" s="167">
        <f t="shared" si="19"/>
      </c>
      <c r="G28" s="92">
        <f t="shared" si="1"/>
        <v>43214</v>
      </c>
      <c r="H28" s="167">
        <f t="shared" si="7"/>
      </c>
      <c r="I28" s="92">
        <f t="shared" si="2"/>
        <v>43244</v>
      </c>
      <c r="J28" s="97">
        <f t="shared" si="17"/>
      </c>
      <c r="K28" s="92">
        <f t="shared" si="8"/>
        <v>43275</v>
      </c>
      <c r="L28" s="97">
        <f t="shared" si="0"/>
      </c>
      <c r="M28" s="92">
        <f t="shared" si="9"/>
        <v>43305</v>
      </c>
      <c r="N28" s="93"/>
      <c r="O28" s="92">
        <f t="shared" si="3"/>
        <v>43336</v>
      </c>
      <c r="P28" s="93"/>
      <c r="Q28" s="92">
        <f t="shared" si="10"/>
        <v>43367</v>
      </c>
      <c r="R28" s="93"/>
      <c r="S28" s="92">
        <f t="shared" si="11"/>
        <v>43397</v>
      </c>
      <c r="T28" s="93"/>
      <c r="U28" s="92">
        <f t="shared" si="15"/>
        <v>43428</v>
      </c>
      <c r="V28" s="93"/>
      <c r="W28" s="92">
        <f t="shared" si="13"/>
        <v>43458</v>
      </c>
      <c r="X28" s="96"/>
      <c r="Y28" s="73"/>
      <c r="Z28" s="72"/>
      <c r="AA28" s="73"/>
      <c r="AB28" s="72"/>
      <c r="AC28" s="72"/>
      <c r="AD28" s="73"/>
      <c r="AE28" s="72"/>
      <c r="AF28" s="72"/>
      <c r="AG28" s="73"/>
      <c r="AH28" s="72"/>
    </row>
    <row r="29" spans="1:34" ht="13.5" customHeight="1">
      <c r="A29" s="92">
        <f t="shared" si="4"/>
        <v>43125</v>
      </c>
      <c r="B29" s="93"/>
      <c r="C29" s="92">
        <f t="shared" si="5"/>
        <v>43156</v>
      </c>
      <c r="D29" s="93"/>
      <c r="E29" s="92">
        <f t="shared" si="18"/>
        <v>43184</v>
      </c>
      <c r="F29" s="167">
        <f t="shared" si="19"/>
      </c>
      <c r="G29" s="92">
        <f t="shared" si="1"/>
        <v>43215</v>
      </c>
      <c r="H29" s="167">
        <f t="shared" si="7"/>
      </c>
      <c r="I29" s="92">
        <f t="shared" si="2"/>
        <v>43245</v>
      </c>
      <c r="J29" s="97">
        <f t="shared" si="17"/>
      </c>
      <c r="K29" s="92">
        <f t="shared" si="8"/>
        <v>43276</v>
      </c>
      <c r="L29" s="97">
        <f t="shared" si="0"/>
      </c>
      <c r="M29" s="92">
        <f t="shared" si="9"/>
        <v>43306</v>
      </c>
      <c r="N29" s="93"/>
      <c r="O29" s="92">
        <f t="shared" si="3"/>
        <v>43337</v>
      </c>
      <c r="P29" s="93"/>
      <c r="Q29" s="92">
        <f t="shared" si="10"/>
        <v>43368</v>
      </c>
      <c r="R29" s="93"/>
      <c r="S29" s="92">
        <f t="shared" si="11"/>
        <v>43398</v>
      </c>
      <c r="T29" s="93"/>
      <c r="U29" s="92">
        <f t="shared" si="15"/>
        <v>43429</v>
      </c>
      <c r="V29" s="96"/>
      <c r="W29" s="157">
        <f aca="true" t="shared" si="20" ref="W29:W35">W28+1</f>
        <v>43459</v>
      </c>
      <c r="X29" s="160" t="s">
        <v>86</v>
      </c>
      <c r="Y29" s="75"/>
      <c r="Z29" s="68"/>
      <c r="AA29" s="75"/>
      <c r="AB29" s="68"/>
      <c r="AC29" s="72"/>
      <c r="AD29" s="73"/>
      <c r="AE29" s="72"/>
      <c r="AF29" s="72"/>
      <c r="AG29" s="75"/>
      <c r="AH29" s="68"/>
    </row>
    <row r="30" spans="1:34" ht="13.5" customHeight="1">
      <c r="A30" s="92">
        <f t="shared" si="4"/>
        <v>43126</v>
      </c>
      <c r="B30" s="93"/>
      <c r="C30" s="92">
        <f t="shared" si="5"/>
        <v>43157</v>
      </c>
      <c r="D30" s="93"/>
      <c r="E30" s="92">
        <f t="shared" si="18"/>
        <v>43185</v>
      </c>
      <c r="F30" s="167">
        <f t="shared" si="19"/>
      </c>
      <c r="G30" s="92">
        <f t="shared" si="1"/>
        <v>43216</v>
      </c>
      <c r="H30" s="167"/>
      <c r="I30" s="92">
        <f t="shared" si="2"/>
        <v>43246</v>
      </c>
      <c r="J30" s="97">
        <f t="shared" si="17"/>
      </c>
      <c r="K30" s="92">
        <f t="shared" si="8"/>
        <v>43277</v>
      </c>
      <c r="L30" s="97">
        <f t="shared" si="0"/>
      </c>
      <c r="M30" s="92">
        <f t="shared" si="9"/>
        <v>43307</v>
      </c>
      <c r="N30" s="93"/>
      <c r="O30" s="92">
        <f t="shared" si="3"/>
        <v>43338</v>
      </c>
      <c r="P30" s="93"/>
      <c r="Q30" s="92">
        <f t="shared" si="10"/>
        <v>43369</v>
      </c>
      <c r="R30" s="93"/>
      <c r="S30" s="92">
        <f t="shared" si="11"/>
        <v>43399</v>
      </c>
      <c r="T30" s="93"/>
      <c r="U30" s="92">
        <f t="shared" si="15"/>
        <v>43430</v>
      </c>
      <c r="V30" s="93"/>
      <c r="W30" s="162">
        <f t="shared" si="20"/>
        <v>43460</v>
      </c>
      <c r="X30" s="163" t="s">
        <v>85</v>
      </c>
      <c r="Y30" s="75"/>
      <c r="Z30" s="68"/>
      <c r="AA30" s="75"/>
      <c r="AB30" s="68"/>
      <c r="AC30" s="72"/>
      <c r="AD30" s="73"/>
      <c r="AE30" s="72"/>
      <c r="AF30" s="72"/>
      <c r="AG30" s="75"/>
      <c r="AH30" s="68"/>
    </row>
    <row r="31" spans="1:34" ht="13.5" customHeight="1">
      <c r="A31" s="92">
        <f t="shared" si="4"/>
        <v>43127</v>
      </c>
      <c r="B31" s="93"/>
      <c r="C31" s="92">
        <f t="shared" si="5"/>
        <v>43158</v>
      </c>
      <c r="D31" s="93"/>
      <c r="E31" s="92">
        <f t="shared" si="18"/>
        <v>43186</v>
      </c>
      <c r="F31" s="167">
        <f t="shared" si="19"/>
      </c>
      <c r="G31" s="92">
        <f t="shared" si="1"/>
        <v>43217</v>
      </c>
      <c r="H31" s="167"/>
      <c r="I31" s="92">
        <f t="shared" si="2"/>
        <v>43247</v>
      </c>
      <c r="J31" s="97">
        <f t="shared" si="17"/>
      </c>
      <c r="K31" s="92">
        <f t="shared" si="8"/>
        <v>43278</v>
      </c>
      <c r="L31" s="97">
        <f t="shared" si="0"/>
      </c>
      <c r="M31" s="92">
        <f t="shared" si="9"/>
        <v>43308</v>
      </c>
      <c r="N31" s="93"/>
      <c r="O31" s="92">
        <f t="shared" si="3"/>
        <v>43339</v>
      </c>
      <c r="P31" s="93"/>
      <c r="Q31" s="92">
        <f t="shared" si="10"/>
        <v>43370</v>
      </c>
      <c r="R31" s="93"/>
      <c r="S31" s="92">
        <f t="shared" si="11"/>
        <v>43400</v>
      </c>
      <c r="T31" s="93"/>
      <c r="U31" s="92">
        <f t="shared" si="15"/>
        <v>43431</v>
      </c>
      <c r="V31" s="93"/>
      <c r="W31" s="161">
        <f t="shared" si="20"/>
        <v>43461</v>
      </c>
      <c r="X31" s="96"/>
      <c r="Y31" s="73"/>
      <c r="Z31" s="72"/>
      <c r="AA31" s="73"/>
      <c r="AB31" s="72"/>
      <c r="AC31" s="72"/>
      <c r="AD31" s="73"/>
      <c r="AE31" s="72"/>
      <c r="AF31" s="72"/>
      <c r="AG31" s="73"/>
      <c r="AH31" s="72"/>
    </row>
    <row r="32" spans="1:34" ht="13.5" customHeight="1">
      <c r="A32" s="92">
        <f t="shared" si="4"/>
        <v>43128</v>
      </c>
      <c r="B32" s="93"/>
      <c r="C32" s="92">
        <f t="shared" si="5"/>
        <v>43159</v>
      </c>
      <c r="D32" s="93"/>
      <c r="E32" s="92">
        <f t="shared" si="18"/>
        <v>43187</v>
      </c>
      <c r="F32" s="167">
        <f t="shared" si="19"/>
      </c>
      <c r="G32" s="92">
        <f t="shared" si="1"/>
        <v>43218</v>
      </c>
      <c r="H32" s="167"/>
      <c r="I32" s="92">
        <f t="shared" si="2"/>
        <v>43248</v>
      </c>
      <c r="J32" s="97">
        <f t="shared" si="17"/>
      </c>
      <c r="K32" s="92">
        <f>K31+1</f>
        <v>43279</v>
      </c>
      <c r="L32" s="93"/>
      <c r="M32" s="92">
        <f t="shared" si="9"/>
        <v>43309</v>
      </c>
      <c r="N32" s="93"/>
      <c r="O32" s="92">
        <f t="shared" si="3"/>
        <v>43340</v>
      </c>
      <c r="P32" s="93"/>
      <c r="Q32" s="92">
        <f t="shared" si="10"/>
        <v>43371</v>
      </c>
      <c r="R32" s="93"/>
      <c r="S32" s="92">
        <f t="shared" si="11"/>
        <v>43401</v>
      </c>
      <c r="T32" s="93"/>
      <c r="U32" s="92">
        <f t="shared" si="15"/>
        <v>43432</v>
      </c>
      <c r="V32" s="93"/>
      <c r="W32" s="92">
        <f t="shared" si="20"/>
        <v>43462</v>
      </c>
      <c r="X32" s="96"/>
      <c r="Y32" s="73"/>
      <c r="Z32" s="72"/>
      <c r="AA32" s="73"/>
      <c r="AB32" s="72"/>
      <c r="AC32" s="72"/>
      <c r="AD32" s="73"/>
      <c r="AE32" s="72"/>
      <c r="AF32" s="72"/>
      <c r="AG32" s="73"/>
      <c r="AH32" s="72"/>
    </row>
    <row r="33" spans="1:34" ht="13.5" customHeight="1">
      <c r="A33" s="92">
        <f t="shared" si="4"/>
        <v>43129</v>
      </c>
      <c r="B33" s="93"/>
      <c r="C33" s="94">
        <f>CHOOSE(OR(AND(MOD(gewJahr,4)=0,MOD(gewJahr,100)&lt;&gt;0),MOD(gewJahr,400)=0)+1,"",C32+1)</f>
      </c>
      <c r="D33" s="95"/>
      <c r="E33" s="92">
        <f t="shared" si="18"/>
        <v>43188</v>
      </c>
      <c r="F33" s="167">
        <f t="shared" si="19"/>
      </c>
      <c r="G33" s="92">
        <f t="shared" si="1"/>
        <v>43219</v>
      </c>
      <c r="H33" s="167"/>
      <c r="I33" s="92">
        <f t="shared" si="2"/>
        <v>43249</v>
      </c>
      <c r="J33" s="97">
        <f t="shared" si="17"/>
      </c>
      <c r="K33" s="92">
        <f>K32+1</f>
        <v>43280</v>
      </c>
      <c r="L33" s="93"/>
      <c r="M33" s="92">
        <f t="shared" si="9"/>
        <v>43310</v>
      </c>
      <c r="N33" s="93"/>
      <c r="O33" s="92">
        <f t="shared" si="3"/>
        <v>43341</v>
      </c>
      <c r="P33" s="93"/>
      <c r="Q33" s="92">
        <f t="shared" si="10"/>
        <v>43372</v>
      </c>
      <c r="R33" s="93"/>
      <c r="S33" s="92">
        <f t="shared" si="11"/>
        <v>43402</v>
      </c>
      <c r="T33" s="93"/>
      <c r="U33" s="92">
        <f t="shared" si="15"/>
        <v>43433</v>
      </c>
      <c r="V33" s="93"/>
      <c r="W33" s="92">
        <f t="shared" si="20"/>
        <v>43463</v>
      </c>
      <c r="X33" s="96"/>
      <c r="Y33" s="73"/>
      <c r="Z33" s="72"/>
      <c r="AA33" s="73"/>
      <c r="AB33" s="72"/>
      <c r="AC33" s="72"/>
      <c r="AD33" s="73"/>
      <c r="AE33" s="72"/>
      <c r="AF33" s="72"/>
      <c r="AG33" s="73"/>
      <c r="AH33" s="72"/>
    </row>
    <row r="34" spans="1:34" ht="13.5" customHeight="1">
      <c r="A34" s="92">
        <f t="shared" si="4"/>
        <v>43130</v>
      </c>
      <c r="B34" s="96"/>
      <c r="C34" s="73"/>
      <c r="D34" s="72"/>
      <c r="E34" s="92">
        <f t="shared" si="18"/>
        <v>43189</v>
      </c>
      <c r="F34" s="167" t="str">
        <f t="shared" si="19"/>
        <v>Karfreitag</v>
      </c>
      <c r="G34" s="94">
        <f t="shared" si="1"/>
        <v>43220</v>
      </c>
      <c r="H34" s="181"/>
      <c r="I34" s="92">
        <f t="shared" si="2"/>
        <v>43250</v>
      </c>
      <c r="J34" s="97">
        <f t="shared" si="17"/>
      </c>
      <c r="K34" s="92">
        <f>K33+1</f>
        <v>43281</v>
      </c>
      <c r="L34" s="93"/>
      <c r="M34" s="92">
        <f t="shared" si="9"/>
        <v>43311</v>
      </c>
      <c r="N34" s="93"/>
      <c r="O34" s="92">
        <f t="shared" si="3"/>
        <v>43342</v>
      </c>
      <c r="P34" s="93"/>
      <c r="Q34" s="94">
        <f t="shared" si="10"/>
        <v>43373</v>
      </c>
      <c r="R34" s="95"/>
      <c r="S34" s="92">
        <f t="shared" si="11"/>
        <v>43403</v>
      </c>
      <c r="T34" s="93"/>
      <c r="U34" s="94">
        <f t="shared" si="15"/>
        <v>43434</v>
      </c>
      <c r="V34" s="95"/>
      <c r="W34" s="92">
        <f t="shared" si="20"/>
        <v>43464</v>
      </c>
      <c r="X34" s="96"/>
      <c r="Y34" s="73"/>
      <c r="Z34" s="72"/>
      <c r="AA34" s="73"/>
      <c r="AB34" s="72"/>
      <c r="AC34" s="72"/>
      <c r="AD34" s="73"/>
      <c r="AE34" s="72"/>
      <c r="AF34" s="72"/>
      <c r="AG34" s="73"/>
      <c r="AH34" s="72"/>
    </row>
    <row r="35" spans="1:34" ht="13.5" customHeight="1">
      <c r="A35" s="94">
        <f t="shared" si="4"/>
        <v>43131</v>
      </c>
      <c r="B35" s="95"/>
      <c r="C35" s="98"/>
      <c r="D35" s="72"/>
      <c r="E35" s="94">
        <f t="shared" si="18"/>
        <v>43190</v>
      </c>
      <c r="F35" s="181">
        <f t="shared" si="19"/>
      </c>
      <c r="G35" s="98"/>
      <c r="H35" s="72"/>
      <c r="I35" s="94">
        <f t="shared" si="2"/>
        <v>43251</v>
      </c>
      <c r="J35" s="180" t="str">
        <f t="shared" si="17"/>
        <v>Fronleichnam</v>
      </c>
      <c r="K35" s="72"/>
      <c r="L35" s="72"/>
      <c r="M35" s="94">
        <f t="shared" si="9"/>
        <v>43312</v>
      </c>
      <c r="N35" s="95"/>
      <c r="O35" s="94">
        <f t="shared" si="3"/>
        <v>43343</v>
      </c>
      <c r="P35" s="95"/>
      <c r="Q35" s="98"/>
      <c r="R35" s="72"/>
      <c r="S35" s="157">
        <f t="shared" si="11"/>
        <v>43404</v>
      </c>
      <c r="T35" s="159" t="s">
        <v>62</v>
      </c>
      <c r="U35" s="72"/>
      <c r="V35" s="99"/>
      <c r="W35" s="94">
        <f t="shared" si="20"/>
        <v>43465</v>
      </c>
      <c r="X35" s="164"/>
      <c r="Y35" s="73"/>
      <c r="Z35" s="72"/>
      <c r="AA35" s="73"/>
      <c r="AB35" s="72"/>
      <c r="AC35" s="72"/>
      <c r="AD35" s="73"/>
      <c r="AE35" s="72"/>
      <c r="AF35" s="76"/>
      <c r="AG35" s="73"/>
      <c r="AH35" s="72"/>
    </row>
    <row r="36" spans="3:34" ht="12.75">
      <c r="C36" s="62"/>
      <c r="D36" s="62"/>
      <c r="I36" s="62"/>
      <c r="J36" s="62"/>
      <c r="K36" s="62"/>
      <c r="L36" s="62"/>
      <c r="Q36" s="62"/>
      <c r="R36" s="62"/>
      <c r="U36" s="62"/>
      <c r="V36" s="62"/>
      <c r="W36" s="62"/>
      <c r="AA36" s="69"/>
      <c r="AB36" s="69"/>
      <c r="AC36" s="69"/>
      <c r="AD36" s="69"/>
      <c r="AE36" s="69"/>
      <c r="AF36" s="69"/>
      <c r="AG36" s="69"/>
      <c r="AH36" s="69"/>
    </row>
    <row r="37" spans="27:34" ht="12.75">
      <c r="AA37" s="69"/>
      <c r="AB37" s="69"/>
      <c r="AC37" s="69"/>
      <c r="AD37" s="69"/>
      <c r="AE37" s="69"/>
      <c r="AF37" s="69"/>
      <c r="AG37" s="69"/>
      <c r="AH37" s="69"/>
    </row>
    <row r="38" spans="27:34" ht="12.75">
      <c r="AA38" s="69"/>
      <c r="AB38" s="69"/>
      <c r="AC38" s="69"/>
      <c r="AD38" s="69"/>
      <c r="AE38" s="69"/>
      <c r="AF38" s="69"/>
      <c r="AG38" s="69"/>
      <c r="AH38" s="69"/>
    </row>
    <row r="39" spans="3:34" ht="12.75">
      <c r="C39" s="83" t="s">
        <v>87</v>
      </c>
      <c r="D39" s="84"/>
      <c r="E39" s="85">
        <f>gewJahr</f>
        <v>2018</v>
      </c>
      <c r="AA39" s="69"/>
      <c r="AB39" s="69"/>
      <c r="AC39" s="69"/>
      <c r="AD39" s="69"/>
      <c r="AE39" s="69"/>
      <c r="AF39" s="69"/>
      <c r="AG39" s="69"/>
      <c r="AH39" s="69"/>
    </row>
    <row r="40" spans="2:34" ht="11.25" customHeight="1">
      <c r="B40" s="67"/>
      <c r="C40" s="86" t="str">
        <f>Stammdaten!K11</f>
        <v>Karfreitag</v>
      </c>
      <c r="D40" s="87"/>
      <c r="E40" s="88">
        <f>E41-2</f>
        <v>43189</v>
      </c>
      <c r="AA40" s="69"/>
      <c r="AB40" s="69"/>
      <c r="AC40" s="69"/>
      <c r="AD40" s="69"/>
      <c r="AE40" s="69"/>
      <c r="AF40" s="69"/>
      <c r="AG40" s="69"/>
      <c r="AH40" s="69"/>
    </row>
    <row r="41" spans="2:34" ht="11.25" customHeight="1">
      <c r="B41" s="67"/>
      <c r="C41" s="86" t="str">
        <f>Stammdaten!K12</f>
        <v>Ostersonntag</v>
      </c>
      <c r="D41" s="87"/>
      <c r="E41" s="88">
        <f>Ostern(gewJahr)</f>
        <v>43191</v>
      </c>
      <c r="AA41" s="46"/>
      <c r="AB41" s="46"/>
      <c r="AC41" s="69"/>
      <c r="AD41" s="69"/>
      <c r="AE41" s="69"/>
      <c r="AF41" s="69"/>
      <c r="AG41" s="69"/>
      <c r="AH41" s="69"/>
    </row>
    <row r="42" spans="2:34" ht="11.25" customHeight="1">
      <c r="B42" s="67"/>
      <c r="C42" s="86" t="str">
        <f>Stammdaten!K13</f>
        <v>Ostermontag</v>
      </c>
      <c r="D42" s="87"/>
      <c r="E42" s="88">
        <f>E41+1</f>
        <v>43192</v>
      </c>
      <c r="AA42" s="46"/>
      <c r="AB42" s="46"/>
      <c r="AC42" s="69"/>
      <c r="AD42" s="69"/>
      <c r="AE42" s="69"/>
      <c r="AF42" s="69"/>
      <c r="AG42" s="69"/>
      <c r="AH42" s="69"/>
    </row>
    <row r="43" spans="2:34" ht="11.25" customHeight="1">
      <c r="B43" s="67"/>
      <c r="C43" s="86" t="str">
        <f>Stammdaten!K15</f>
        <v>Chr. Himmelfahrt</v>
      </c>
      <c r="D43" s="87"/>
      <c r="E43" s="88">
        <f>E41+39</f>
        <v>43230</v>
      </c>
      <c r="AA43" s="46"/>
      <c r="AB43" s="46"/>
      <c r="AC43" s="69"/>
      <c r="AD43" s="69"/>
      <c r="AE43" s="69"/>
      <c r="AF43" s="69"/>
      <c r="AG43" s="69"/>
      <c r="AH43" s="69"/>
    </row>
    <row r="44" spans="2:34" ht="11.25" customHeight="1">
      <c r="B44" s="67"/>
      <c r="C44" s="86" t="str">
        <f>Stammdaten!K16</f>
        <v>Pfingstsonntag</v>
      </c>
      <c r="D44" s="87"/>
      <c r="E44" s="88">
        <f>E41+49</f>
        <v>43240</v>
      </c>
      <c r="AA44" s="46"/>
      <c r="AB44" s="46"/>
      <c r="AC44" s="69"/>
      <c r="AD44" s="69"/>
      <c r="AE44" s="69"/>
      <c r="AF44" s="69"/>
      <c r="AG44" s="69"/>
      <c r="AH44" s="69"/>
    </row>
    <row r="45" spans="2:34" ht="11.25" customHeight="1">
      <c r="B45" s="67"/>
      <c r="C45" s="86" t="str">
        <f>Stammdaten!K17</f>
        <v>Pfingstmontag</v>
      </c>
      <c r="D45" s="87"/>
      <c r="E45" s="88">
        <f>E41+50</f>
        <v>43241</v>
      </c>
      <c r="AA45" s="46"/>
      <c r="AB45" s="46"/>
      <c r="AC45" s="69"/>
      <c r="AD45" s="69"/>
      <c r="AE45" s="69"/>
      <c r="AF45" s="69"/>
      <c r="AG45" s="69"/>
      <c r="AH45" s="69"/>
    </row>
    <row r="46" spans="2:34" ht="11.25" customHeight="1">
      <c r="B46" s="67"/>
      <c r="C46" s="89" t="str">
        <f>Stammdaten!K18</f>
        <v>Fronleichnam</v>
      </c>
      <c r="D46" s="90"/>
      <c r="E46" s="91">
        <f>E41+60</f>
        <v>43251</v>
      </c>
      <c r="AA46" s="46"/>
      <c r="AB46" s="46"/>
      <c r="AC46" s="69"/>
      <c r="AD46" s="69"/>
      <c r="AE46" s="69"/>
      <c r="AF46" s="69"/>
      <c r="AG46" s="69"/>
      <c r="AH46" s="69"/>
    </row>
    <row r="47" spans="27:34" ht="12.75">
      <c r="AA47" s="46"/>
      <c r="AB47" s="46"/>
      <c r="AC47" s="69"/>
      <c r="AD47" s="69"/>
      <c r="AE47" s="69"/>
      <c r="AF47" s="69"/>
      <c r="AG47" s="69"/>
      <c r="AH47" s="69"/>
    </row>
    <row r="48" spans="27:34" ht="12.75">
      <c r="AA48" s="46"/>
      <c r="AB48" s="46"/>
      <c r="AC48" s="69"/>
      <c r="AD48" s="69"/>
      <c r="AE48" s="69"/>
      <c r="AF48" s="69"/>
      <c r="AG48" s="69"/>
      <c r="AH48" s="69"/>
    </row>
    <row r="49" spans="27:34" ht="12.75">
      <c r="AA49" s="46"/>
      <c r="AB49" s="46"/>
      <c r="AC49" s="69"/>
      <c r="AD49" s="69"/>
      <c r="AE49" s="69"/>
      <c r="AF49" s="69"/>
      <c r="AG49" s="69"/>
      <c r="AH49" s="69"/>
    </row>
    <row r="50" spans="27:34" ht="12.75">
      <c r="AA50" s="46"/>
      <c r="AB50" s="46"/>
      <c r="AC50" s="69"/>
      <c r="AD50" s="69"/>
      <c r="AE50" s="69"/>
      <c r="AF50" s="69"/>
      <c r="AG50" s="69"/>
      <c r="AH50" s="69"/>
    </row>
    <row r="51" spans="27:34" ht="12.75">
      <c r="AA51" s="46"/>
      <c r="AB51" s="46"/>
      <c r="AC51" s="69"/>
      <c r="AD51" s="69"/>
      <c r="AE51" s="69"/>
      <c r="AF51" s="69"/>
      <c r="AG51" s="69"/>
      <c r="AH51" s="69"/>
    </row>
    <row r="52" spans="27:34" ht="12.75">
      <c r="AA52" s="46"/>
      <c r="AB52" s="46"/>
      <c r="AC52" s="69"/>
      <c r="AD52" s="69"/>
      <c r="AE52" s="69"/>
      <c r="AF52" s="69"/>
      <c r="AG52" s="69"/>
      <c r="AH52" s="69"/>
    </row>
    <row r="53" spans="27:34" ht="12.75">
      <c r="AA53" s="46"/>
      <c r="AB53" s="46"/>
      <c r="AC53" s="69"/>
      <c r="AD53" s="69"/>
      <c r="AE53" s="69"/>
      <c r="AF53" s="69"/>
      <c r="AG53" s="69"/>
      <c r="AH53" s="69"/>
    </row>
    <row r="54" spans="29:34" ht="12.75">
      <c r="AC54" s="69"/>
      <c r="AD54" s="69"/>
      <c r="AE54" s="69"/>
      <c r="AF54" s="69"/>
      <c r="AG54" s="69"/>
      <c r="AH54" s="69"/>
    </row>
    <row r="55" spans="29:34" ht="12.75">
      <c r="AC55" s="69"/>
      <c r="AD55" s="69"/>
      <c r="AE55" s="69"/>
      <c r="AF55" s="69"/>
      <c r="AG55" s="69"/>
      <c r="AH55" s="69"/>
    </row>
    <row r="56" spans="29:34" ht="12.75">
      <c r="AC56" s="69"/>
      <c r="AD56" s="69"/>
      <c r="AE56" s="69"/>
      <c r="AF56" s="69"/>
      <c r="AG56" s="69"/>
      <c r="AH56" s="69"/>
    </row>
    <row r="57" spans="29:34" ht="12.75">
      <c r="AC57" s="69"/>
      <c r="AD57" s="69"/>
      <c r="AE57" s="69"/>
      <c r="AF57" s="69"/>
      <c r="AG57" s="69"/>
      <c r="AH57" s="69"/>
    </row>
    <row r="58" spans="29:34" ht="12.75">
      <c r="AC58" s="69"/>
      <c r="AD58" s="69"/>
      <c r="AE58" s="69"/>
      <c r="AF58" s="69"/>
      <c r="AG58" s="69"/>
      <c r="AH58" s="69"/>
    </row>
    <row r="59" spans="29:34" ht="12.75">
      <c r="AC59" s="69"/>
      <c r="AD59" s="69"/>
      <c r="AE59" s="69"/>
      <c r="AF59" s="69"/>
      <c r="AG59" s="69"/>
      <c r="AH59" s="69"/>
    </row>
    <row r="60" spans="29:34" ht="12.75">
      <c r="AC60" s="69"/>
      <c r="AD60" s="69"/>
      <c r="AE60" s="69"/>
      <c r="AF60" s="69"/>
      <c r="AG60" s="69"/>
      <c r="AH60" s="69"/>
    </row>
    <row r="61" spans="29:34" ht="12.75">
      <c r="AC61" s="69"/>
      <c r="AD61" s="69"/>
      <c r="AE61" s="69"/>
      <c r="AF61" s="69"/>
      <c r="AG61" s="69"/>
      <c r="AH61" s="69"/>
    </row>
    <row r="62" spans="29:34" ht="12.75">
      <c r="AC62" s="69"/>
      <c r="AD62" s="69"/>
      <c r="AE62" s="69"/>
      <c r="AF62" s="69"/>
      <c r="AG62" s="69"/>
      <c r="AH62" s="69"/>
    </row>
    <row r="63" spans="29:34" ht="12.75">
      <c r="AC63" s="69"/>
      <c r="AD63" s="69"/>
      <c r="AE63" s="69"/>
      <c r="AF63" s="69"/>
      <c r="AG63" s="69"/>
      <c r="AH63" s="69"/>
    </row>
    <row r="64" spans="29:34" ht="12.75">
      <c r="AC64" s="69"/>
      <c r="AD64" s="69"/>
      <c r="AE64" s="69"/>
      <c r="AF64" s="69"/>
      <c r="AG64" s="69"/>
      <c r="AH64" s="69"/>
    </row>
    <row r="65" spans="29:34" ht="12.75">
      <c r="AC65" s="69"/>
      <c r="AD65" s="69"/>
      <c r="AE65" s="69"/>
      <c r="AF65" s="69"/>
      <c r="AG65" s="69"/>
      <c r="AH65" s="69"/>
    </row>
    <row r="66" spans="29:34" ht="12.75">
      <c r="AC66" s="69"/>
      <c r="AD66" s="69"/>
      <c r="AE66" s="69"/>
      <c r="AF66" s="69"/>
      <c r="AG66" s="69"/>
      <c r="AH66" s="69"/>
    </row>
    <row r="67" spans="29:34" ht="12.75">
      <c r="AC67" s="69"/>
      <c r="AD67" s="69"/>
      <c r="AE67" s="69"/>
      <c r="AF67" s="69"/>
      <c r="AG67" s="69"/>
      <c r="AH67" s="69"/>
    </row>
    <row r="68" spans="29:34" ht="12.75">
      <c r="AC68" s="69"/>
      <c r="AD68" s="69"/>
      <c r="AE68" s="69"/>
      <c r="AF68" s="69"/>
      <c r="AG68" s="69"/>
      <c r="AH68" s="69"/>
    </row>
    <row r="69" spans="29:34" ht="12.75">
      <c r="AC69" s="69"/>
      <c r="AD69" s="69"/>
      <c r="AE69" s="69"/>
      <c r="AF69" s="69"/>
      <c r="AG69" s="69"/>
      <c r="AH69" s="69"/>
    </row>
    <row r="70" spans="29:34" ht="12.75">
      <c r="AC70" s="69"/>
      <c r="AD70" s="69"/>
      <c r="AE70" s="69"/>
      <c r="AF70" s="69"/>
      <c r="AG70" s="69"/>
      <c r="AH70" s="69"/>
    </row>
    <row r="71" spans="29:34" ht="12.75">
      <c r="AC71" s="69"/>
      <c r="AD71" s="69"/>
      <c r="AE71" s="69"/>
      <c r="AF71" s="69"/>
      <c r="AG71" s="69"/>
      <c r="AH71" s="69"/>
    </row>
    <row r="72" spans="29:34" ht="12.75">
      <c r="AC72" s="69"/>
      <c r="AD72" s="69"/>
      <c r="AE72" s="69"/>
      <c r="AF72" s="69"/>
      <c r="AG72" s="69"/>
      <c r="AH72" s="69"/>
    </row>
    <row r="73" spans="29:34" ht="12.75">
      <c r="AC73" s="69"/>
      <c r="AD73" s="69"/>
      <c r="AE73" s="69"/>
      <c r="AF73" s="69"/>
      <c r="AG73" s="69"/>
      <c r="AH73" s="69"/>
    </row>
    <row r="74" spans="29:34" ht="12.75">
      <c r="AC74" s="69"/>
      <c r="AD74" s="69"/>
      <c r="AE74" s="69"/>
      <c r="AF74" s="69"/>
      <c r="AG74" s="69"/>
      <c r="AH74" s="69"/>
    </row>
    <row r="75" spans="29:34" ht="12.75">
      <c r="AC75" s="69"/>
      <c r="AD75" s="69"/>
      <c r="AE75" s="69"/>
      <c r="AF75" s="69"/>
      <c r="AG75" s="69"/>
      <c r="AH75" s="69"/>
    </row>
    <row r="76" spans="29:34" ht="12.75">
      <c r="AC76" s="69"/>
      <c r="AD76" s="69"/>
      <c r="AE76" s="69"/>
      <c r="AF76" s="69"/>
      <c r="AG76" s="69"/>
      <c r="AH76" s="69"/>
    </row>
    <row r="77" spans="29:34" ht="12.75">
      <c r="AC77" s="69"/>
      <c r="AD77" s="69"/>
      <c r="AE77" s="69"/>
      <c r="AF77" s="69"/>
      <c r="AG77" s="69"/>
      <c r="AH77" s="69"/>
    </row>
    <row r="78" spans="29:34" ht="12.75">
      <c r="AC78" s="69"/>
      <c r="AD78" s="69"/>
      <c r="AE78" s="69"/>
      <c r="AF78" s="69"/>
      <c r="AG78" s="69"/>
      <c r="AH78" s="69"/>
    </row>
    <row r="79" spans="29:34" ht="12.75">
      <c r="AC79" s="69"/>
      <c r="AD79" s="69"/>
      <c r="AE79" s="69"/>
      <c r="AF79" s="69"/>
      <c r="AG79" s="69"/>
      <c r="AH79" s="69"/>
    </row>
    <row r="80" spans="29:34" ht="12.75">
      <c r="AC80" s="69"/>
      <c r="AD80" s="69"/>
      <c r="AE80" s="69"/>
      <c r="AF80" s="69"/>
      <c r="AG80" s="69"/>
      <c r="AH80" s="69"/>
    </row>
    <row r="81" spans="29:34" ht="12.75">
      <c r="AC81" s="69"/>
      <c r="AD81" s="69"/>
      <c r="AE81" s="69"/>
      <c r="AF81" s="69"/>
      <c r="AG81" s="69"/>
      <c r="AH81" s="69"/>
    </row>
    <row r="82" spans="29:34" ht="12.75">
      <c r="AC82" s="69"/>
      <c r="AD82" s="69"/>
      <c r="AE82" s="69"/>
      <c r="AF82" s="69"/>
      <c r="AG82" s="69"/>
      <c r="AH82" s="69"/>
    </row>
    <row r="83" spans="29:34" ht="12.75">
      <c r="AC83" s="69"/>
      <c r="AD83" s="69"/>
      <c r="AE83" s="69"/>
      <c r="AF83" s="69"/>
      <c r="AG83" s="69"/>
      <c r="AH83" s="69"/>
    </row>
    <row r="84" spans="29:34" ht="12.75">
      <c r="AC84" s="69"/>
      <c r="AD84" s="69"/>
      <c r="AE84" s="69"/>
      <c r="AF84" s="69"/>
      <c r="AG84" s="69"/>
      <c r="AH84" s="69"/>
    </row>
    <row r="85" spans="29:34" ht="12.75">
      <c r="AC85" s="69"/>
      <c r="AD85" s="69"/>
      <c r="AE85" s="69"/>
      <c r="AF85" s="69"/>
      <c r="AG85" s="69"/>
      <c r="AH85" s="69"/>
    </row>
    <row r="86" spans="29:34" ht="12.75">
      <c r="AC86" s="69"/>
      <c r="AD86" s="69"/>
      <c r="AE86" s="69"/>
      <c r="AF86" s="69"/>
      <c r="AG86" s="69"/>
      <c r="AH86" s="69"/>
    </row>
    <row r="87" spans="29:34" ht="12.75">
      <c r="AC87" s="69"/>
      <c r="AD87" s="69"/>
      <c r="AE87" s="69"/>
      <c r="AF87" s="69"/>
      <c r="AG87" s="69"/>
      <c r="AH87" s="69"/>
    </row>
    <row r="88" spans="29:34" ht="12.75">
      <c r="AC88" s="69"/>
      <c r="AD88" s="69"/>
      <c r="AE88" s="69"/>
      <c r="AF88" s="69"/>
      <c r="AG88" s="69"/>
      <c r="AH88" s="69"/>
    </row>
    <row r="89" spans="29:34" ht="12.75">
      <c r="AC89" s="69"/>
      <c r="AD89" s="69"/>
      <c r="AE89" s="69"/>
      <c r="AF89" s="69"/>
      <c r="AG89" s="69"/>
      <c r="AH89" s="69"/>
    </row>
    <row r="90" spans="29:34" ht="12.75">
      <c r="AC90" s="69"/>
      <c r="AD90" s="69"/>
      <c r="AE90" s="69"/>
      <c r="AF90" s="69"/>
      <c r="AG90" s="69"/>
      <c r="AH90" s="69"/>
    </row>
    <row r="91" spans="29:34" ht="12.75">
      <c r="AC91" s="69"/>
      <c r="AD91" s="69"/>
      <c r="AE91" s="69"/>
      <c r="AF91" s="69"/>
      <c r="AG91" s="69"/>
      <c r="AH91" s="69"/>
    </row>
    <row r="92" spans="29:34" ht="12.75">
      <c r="AC92" s="69"/>
      <c r="AD92" s="69"/>
      <c r="AE92" s="69"/>
      <c r="AF92" s="69"/>
      <c r="AG92" s="69"/>
      <c r="AH92" s="69"/>
    </row>
    <row r="93" spans="29:34" ht="12.75">
      <c r="AC93" s="69"/>
      <c r="AD93" s="69"/>
      <c r="AE93" s="69"/>
      <c r="AF93" s="69"/>
      <c r="AG93" s="69"/>
      <c r="AH93" s="69"/>
    </row>
    <row r="94" spans="29:34" ht="12.75">
      <c r="AC94" s="69"/>
      <c r="AD94" s="69"/>
      <c r="AE94" s="69"/>
      <c r="AF94" s="69"/>
      <c r="AG94" s="69"/>
      <c r="AH94" s="69"/>
    </row>
    <row r="95" spans="29:34" ht="12.75">
      <c r="AC95" s="69"/>
      <c r="AD95" s="69"/>
      <c r="AE95" s="69"/>
      <c r="AF95" s="69"/>
      <c r="AG95" s="69"/>
      <c r="AH95" s="69"/>
    </row>
    <row r="96" spans="29:34" ht="12.75">
      <c r="AC96" s="69"/>
      <c r="AD96" s="69"/>
      <c r="AE96" s="69"/>
      <c r="AF96" s="69"/>
      <c r="AG96" s="69"/>
      <c r="AH96" s="69"/>
    </row>
    <row r="97" spans="29:34" ht="12.75">
      <c r="AC97" s="69"/>
      <c r="AD97" s="69"/>
      <c r="AE97" s="69"/>
      <c r="AF97" s="69"/>
      <c r="AG97" s="69"/>
      <c r="AH97" s="69"/>
    </row>
    <row r="98" spans="29:34" ht="12.75">
      <c r="AC98" s="69"/>
      <c r="AD98" s="69"/>
      <c r="AE98" s="69"/>
      <c r="AF98" s="69"/>
      <c r="AG98" s="69"/>
      <c r="AH98" s="69"/>
    </row>
    <row r="99" spans="29:34" ht="12.75">
      <c r="AC99" s="69"/>
      <c r="AD99" s="69"/>
      <c r="AE99" s="69"/>
      <c r="AF99" s="69"/>
      <c r="AG99" s="69"/>
      <c r="AH99" s="69"/>
    </row>
    <row r="100" spans="29:34" ht="12.75">
      <c r="AC100" s="69"/>
      <c r="AD100" s="69"/>
      <c r="AE100" s="69"/>
      <c r="AF100" s="69"/>
      <c r="AG100" s="69"/>
      <c r="AH100" s="69"/>
    </row>
    <row r="101" spans="29:34" ht="12.75">
      <c r="AC101" s="69"/>
      <c r="AD101" s="69"/>
      <c r="AE101" s="69"/>
      <c r="AF101" s="69"/>
      <c r="AG101" s="69"/>
      <c r="AH101" s="69"/>
    </row>
    <row r="102" spans="29:34" ht="12.75">
      <c r="AC102" s="69"/>
      <c r="AD102" s="69"/>
      <c r="AE102" s="69"/>
      <c r="AF102" s="69"/>
      <c r="AG102" s="69"/>
      <c r="AH102" s="69"/>
    </row>
    <row r="103" spans="29:34" ht="12.75">
      <c r="AC103" s="69"/>
      <c r="AD103" s="69"/>
      <c r="AE103" s="69"/>
      <c r="AF103" s="69"/>
      <c r="AG103" s="69"/>
      <c r="AH103" s="69"/>
    </row>
    <row r="104" spans="29:34" ht="12.75">
      <c r="AC104" s="69"/>
      <c r="AD104" s="69"/>
      <c r="AE104" s="69"/>
      <c r="AF104" s="69"/>
      <c r="AG104" s="69"/>
      <c r="AH104" s="69"/>
    </row>
    <row r="105" spans="29:34" ht="12.75">
      <c r="AC105" s="69"/>
      <c r="AD105" s="69"/>
      <c r="AE105" s="69"/>
      <c r="AF105" s="69"/>
      <c r="AG105" s="69"/>
      <c r="AH105" s="69"/>
    </row>
    <row r="106" spans="29:34" ht="12.75">
      <c r="AC106" s="69"/>
      <c r="AD106" s="69"/>
      <c r="AE106" s="69"/>
      <c r="AF106" s="69"/>
      <c r="AG106" s="69"/>
      <c r="AH106" s="69"/>
    </row>
    <row r="107" spans="29:34" ht="12.75">
      <c r="AC107" s="69"/>
      <c r="AD107" s="69"/>
      <c r="AE107" s="69"/>
      <c r="AF107" s="69"/>
      <c r="AG107" s="69"/>
      <c r="AH107" s="69"/>
    </row>
    <row r="108" spans="29:34" ht="12.75">
      <c r="AC108" s="69"/>
      <c r="AD108" s="69"/>
      <c r="AE108" s="69"/>
      <c r="AF108" s="69"/>
      <c r="AG108" s="69"/>
      <c r="AH108" s="69"/>
    </row>
    <row r="109" spans="29:34" ht="12.75">
      <c r="AC109" s="69"/>
      <c r="AD109" s="69"/>
      <c r="AE109" s="69"/>
      <c r="AF109" s="69"/>
      <c r="AG109" s="69"/>
      <c r="AH109" s="69"/>
    </row>
    <row r="110" spans="29:34" ht="12.75">
      <c r="AC110" s="69"/>
      <c r="AD110" s="69"/>
      <c r="AE110" s="69"/>
      <c r="AF110" s="69"/>
      <c r="AG110" s="69"/>
      <c r="AH110" s="69"/>
    </row>
    <row r="111" spans="29:34" ht="12.75">
      <c r="AC111" s="69"/>
      <c r="AD111" s="69"/>
      <c r="AE111" s="69"/>
      <c r="AF111" s="69"/>
      <c r="AG111" s="69"/>
      <c r="AH111" s="69"/>
    </row>
    <row r="112" spans="29:34" ht="12.75">
      <c r="AC112" s="69"/>
      <c r="AD112" s="69"/>
      <c r="AE112" s="69"/>
      <c r="AF112" s="69"/>
      <c r="AG112" s="69"/>
      <c r="AH112" s="69"/>
    </row>
    <row r="113" spans="29:34" ht="12.75">
      <c r="AC113" s="69"/>
      <c r="AD113" s="69"/>
      <c r="AE113" s="69"/>
      <c r="AF113" s="69"/>
      <c r="AG113" s="69"/>
      <c r="AH113" s="69"/>
    </row>
    <row r="114" spans="29:34" ht="12.75">
      <c r="AC114" s="69"/>
      <c r="AD114" s="69"/>
      <c r="AE114" s="69"/>
      <c r="AF114" s="69"/>
      <c r="AG114" s="69"/>
      <c r="AH114" s="69"/>
    </row>
    <row r="115" spans="29:34" ht="12.75">
      <c r="AC115" s="69"/>
      <c r="AD115" s="69"/>
      <c r="AE115" s="69"/>
      <c r="AF115" s="69"/>
      <c r="AG115" s="69"/>
      <c r="AH115" s="69"/>
    </row>
    <row r="116" spans="29:34" ht="12.75">
      <c r="AC116" s="69"/>
      <c r="AD116" s="69"/>
      <c r="AE116" s="69"/>
      <c r="AF116" s="69"/>
      <c r="AG116" s="69"/>
      <c r="AH116" s="69"/>
    </row>
    <row r="117" spans="29:34" ht="12.75">
      <c r="AC117" s="69"/>
      <c r="AD117" s="69"/>
      <c r="AE117" s="69"/>
      <c r="AF117" s="69"/>
      <c r="AG117" s="69"/>
      <c r="AH117" s="69"/>
    </row>
    <row r="118" spans="29:34" ht="12.75">
      <c r="AC118" s="69"/>
      <c r="AD118" s="69"/>
      <c r="AE118" s="69"/>
      <c r="AF118" s="69"/>
      <c r="AG118" s="69"/>
      <c r="AH118" s="69"/>
    </row>
    <row r="119" spans="29:34" ht="12.75">
      <c r="AC119" s="69"/>
      <c r="AD119" s="69"/>
      <c r="AE119" s="69"/>
      <c r="AF119" s="69"/>
      <c r="AG119" s="69"/>
      <c r="AH119" s="69"/>
    </row>
    <row r="120" spans="29:34" ht="12.75">
      <c r="AC120" s="69"/>
      <c r="AD120" s="69"/>
      <c r="AE120" s="69"/>
      <c r="AF120" s="69"/>
      <c r="AG120" s="69"/>
      <c r="AH120" s="69"/>
    </row>
    <row r="121" spans="29:34" ht="12.75">
      <c r="AC121" s="69"/>
      <c r="AD121" s="69"/>
      <c r="AE121" s="69"/>
      <c r="AF121" s="69"/>
      <c r="AG121" s="69"/>
      <c r="AH121" s="69"/>
    </row>
    <row r="122" spans="29:34" ht="12.75">
      <c r="AC122" s="69"/>
      <c r="AD122" s="69"/>
      <c r="AE122" s="69"/>
      <c r="AF122" s="69"/>
      <c r="AG122" s="69"/>
      <c r="AH122" s="69"/>
    </row>
    <row r="123" spans="29:34" ht="12.75">
      <c r="AC123" s="69"/>
      <c r="AD123" s="69"/>
      <c r="AE123" s="69"/>
      <c r="AF123" s="69"/>
      <c r="AG123" s="69"/>
      <c r="AH123" s="69"/>
    </row>
    <row r="124" spans="29:34" ht="12.75">
      <c r="AC124" s="69"/>
      <c r="AD124" s="69"/>
      <c r="AE124" s="69"/>
      <c r="AF124" s="69"/>
      <c r="AG124" s="69"/>
      <c r="AH124" s="69"/>
    </row>
    <row r="125" spans="29:34" ht="12.75">
      <c r="AC125" s="69"/>
      <c r="AD125" s="69"/>
      <c r="AE125" s="69"/>
      <c r="AF125" s="69"/>
      <c r="AG125" s="69"/>
      <c r="AH125" s="69"/>
    </row>
    <row r="126" spans="29:34" ht="12.75">
      <c r="AC126" s="69"/>
      <c r="AD126" s="69"/>
      <c r="AE126" s="69"/>
      <c r="AF126" s="69"/>
      <c r="AG126" s="69"/>
      <c r="AH126" s="69"/>
    </row>
    <row r="127" spans="29:34" ht="12.75">
      <c r="AC127" s="69"/>
      <c r="AD127" s="69"/>
      <c r="AE127" s="69"/>
      <c r="AF127" s="69"/>
      <c r="AG127" s="69"/>
      <c r="AH127" s="69"/>
    </row>
    <row r="128" spans="29:34" ht="12.75">
      <c r="AC128" s="69"/>
      <c r="AD128" s="69"/>
      <c r="AE128" s="69"/>
      <c r="AF128" s="69"/>
      <c r="AG128" s="69"/>
      <c r="AH128" s="69"/>
    </row>
    <row r="129" spans="29:34" ht="12.75">
      <c r="AC129" s="69"/>
      <c r="AD129" s="69"/>
      <c r="AE129" s="69"/>
      <c r="AF129" s="69"/>
      <c r="AG129" s="69"/>
      <c r="AH129" s="69"/>
    </row>
    <row r="130" spans="29:34" ht="12.75">
      <c r="AC130" s="69"/>
      <c r="AD130" s="69"/>
      <c r="AE130" s="69"/>
      <c r="AF130" s="69"/>
      <c r="AG130" s="69"/>
      <c r="AH130" s="69"/>
    </row>
    <row r="131" spans="29:34" ht="12.75">
      <c r="AC131" s="69"/>
      <c r="AD131" s="69"/>
      <c r="AE131" s="69"/>
      <c r="AF131" s="69"/>
      <c r="AG131" s="69"/>
      <c r="AH131" s="69"/>
    </row>
    <row r="132" spans="29:34" ht="12.75">
      <c r="AC132" s="69"/>
      <c r="AD132" s="69"/>
      <c r="AE132" s="69"/>
      <c r="AF132" s="69"/>
      <c r="AG132" s="69"/>
      <c r="AH132" s="69"/>
    </row>
    <row r="133" spans="29:34" ht="12.75">
      <c r="AC133" s="69"/>
      <c r="AD133" s="69"/>
      <c r="AE133" s="69"/>
      <c r="AF133" s="69"/>
      <c r="AG133" s="69"/>
      <c r="AH133" s="69"/>
    </row>
    <row r="134" spans="29:34" ht="12.75">
      <c r="AC134" s="69"/>
      <c r="AD134" s="69"/>
      <c r="AE134" s="69"/>
      <c r="AF134" s="69"/>
      <c r="AG134" s="69"/>
      <c r="AH134" s="69"/>
    </row>
    <row r="135" spans="29:34" ht="12.75">
      <c r="AC135" s="69"/>
      <c r="AD135" s="69"/>
      <c r="AE135" s="69"/>
      <c r="AF135" s="69"/>
      <c r="AG135" s="69"/>
      <c r="AH135" s="69"/>
    </row>
    <row r="136" spans="29:34" ht="12.75">
      <c r="AC136" s="69"/>
      <c r="AD136" s="69"/>
      <c r="AE136" s="69"/>
      <c r="AF136" s="69"/>
      <c r="AG136" s="69"/>
      <c r="AH136" s="69"/>
    </row>
    <row r="137" spans="29:34" ht="12.75">
      <c r="AC137" s="69"/>
      <c r="AD137" s="69"/>
      <c r="AE137" s="69"/>
      <c r="AF137" s="69"/>
      <c r="AG137" s="69"/>
      <c r="AH137" s="69"/>
    </row>
    <row r="138" spans="29:34" ht="12.75">
      <c r="AC138" s="69"/>
      <c r="AD138" s="69"/>
      <c r="AE138" s="69"/>
      <c r="AF138" s="69"/>
      <c r="AG138" s="69"/>
      <c r="AH138" s="69"/>
    </row>
    <row r="139" spans="29:34" ht="12.75">
      <c r="AC139" s="69"/>
      <c r="AD139" s="69"/>
      <c r="AE139" s="69"/>
      <c r="AF139" s="69"/>
      <c r="AG139" s="69"/>
      <c r="AH139" s="69"/>
    </row>
    <row r="140" spans="29:34" ht="12.75">
      <c r="AC140" s="69"/>
      <c r="AD140" s="69"/>
      <c r="AE140" s="69"/>
      <c r="AF140" s="69"/>
      <c r="AG140" s="69"/>
      <c r="AH140" s="69"/>
    </row>
    <row r="141" spans="29:34" ht="12.75">
      <c r="AC141" s="69"/>
      <c r="AD141" s="69"/>
      <c r="AE141" s="69"/>
      <c r="AF141" s="69"/>
      <c r="AG141" s="69"/>
      <c r="AH141" s="69"/>
    </row>
    <row r="142" spans="29:34" ht="12.75">
      <c r="AC142" s="69"/>
      <c r="AD142" s="69"/>
      <c r="AE142" s="69"/>
      <c r="AF142" s="69"/>
      <c r="AG142" s="69"/>
      <c r="AH142" s="69"/>
    </row>
    <row r="143" spans="29:34" ht="12.75">
      <c r="AC143" s="69"/>
      <c r="AD143" s="69"/>
      <c r="AE143" s="69"/>
      <c r="AF143" s="69"/>
      <c r="AG143" s="69"/>
      <c r="AH143" s="69"/>
    </row>
    <row r="144" spans="29:34" ht="12.75">
      <c r="AC144" s="69"/>
      <c r="AD144" s="69"/>
      <c r="AE144" s="69"/>
      <c r="AF144" s="69"/>
      <c r="AG144" s="69"/>
      <c r="AH144" s="69"/>
    </row>
    <row r="145" spans="29:34" ht="12.75">
      <c r="AC145" s="69"/>
      <c r="AD145" s="69"/>
      <c r="AE145" s="69"/>
      <c r="AF145" s="69"/>
      <c r="AG145" s="69"/>
      <c r="AH145" s="69"/>
    </row>
    <row r="146" spans="29:34" ht="12.75">
      <c r="AC146" s="69"/>
      <c r="AD146" s="69"/>
      <c r="AE146" s="69"/>
      <c r="AF146" s="69"/>
      <c r="AG146" s="69"/>
      <c r="AH146" s="69"/>
    </row>
    <row r="147" spans="29:34" ht="12.75">
      <c r="AC147" s="69"/>
      <c r="AD147" s="69"/>
      <c r="AE147" s="69"/>
      <c r="AF147" s="69"/>
      <c r="AG147" s="69"/>
      <c r="AH147" s="69"/>
    </row>
    <row r="148" spans="29:34" ht="12.75">
      <c r="AC148" s="69"/>
      <c r="AD148" s="69"/>
      <c r="AE148" s="69"/>
      <c r="AF148" s="69"/>
      <c r="AG148" s="69"/>
      <c r="AH148" s="69"/>
    </row>
    <row r="149" spans="29:34" ht="12.75">
      <c r="AC149" s="69"/>
      <c r="AD149" s="69"/>
      <c r="AE149" s="69"/>
      <c r="AF149" s="69"/>
      <c r="AG149" s="69"/>
      <c r="AH149" s="69"/>
    </row>
    <row r="150" spans="29:34" ht="12.75">
      <c r="AC150" s="69"/>
      <c r="AD150" s="69"/>
      <c r="AE150" s="69"/>
      <c r="AF150" s="69"/>
      <c r="AG150" s="69"/>
      <c r="AH150" s="69"/>
    </row>
    <row r="151" spans="29:34" ht="12.75">
      <c r="AC151" s="69"/>
      <c r="AD151" s="69"/>
      <c r="AE151" s="69"/>
      <c r="AF151" s="69"/>
      <c r="AG151" s="69"/>
      <c r="AH151" s="69"/>
    </row>
    <row r="152" spans="29:34" ht="12.75">
      <c r="AC152" s="69"/>
      <c r="AD152" s="69"/>
      <c r="AE152" s="69"/>
      <c r="AF152" s="69"/>
      <c r="AG152" s="69"/>
      <c r="AH152" s="69"/>
    </row>
    <row r="153" spans="29:34" ht="12.75">
      <c r="AC153" s="69"/>
      <c r="AD153" s="69"/>
      <c r="AE153" s="69"/>
      <c r="AF153" s="69"/>
      <c r="AG153" s="69"/>
      <c r="AH153" s="69"/>
    </row>
    <row r="154" spans="29:34" ht="12.75">
      <c r="AC154" s="69"/>
      <c r="AD154" s="69"/>
      <c r="AE154" s="69"/>
      <c r="AF154" s="69"/>
      <c r="AG154" s="69"/>
      <c r="AH154" s="69"/>
    </row>
    <row r="155" spans="29:34" ht="12.75">
      <c r="AC155" s="69"/>
      <c r="AD155" s="69"/>
      <c r="AE155" s="69"/>
      <c r="AF155" s="69"/>
      <c r="AG155" s="69"/>
      <c r="AH155" s="69"/>
    </row>
    <row r="156" spans="29:34" ht="12.75">
      <c r="AC156" s="69"/>
      <c r="AD156" s="69"/>
      <c r="AE156" s="69"/>
      <c r="AF156" s="69"/>
      <c r="AG156" s="69"/>
      <c r="AH156" s="69"/>
    </row>
    <row r="157" spans="29:34" ht="12.75">
      <c r="AC157" s="69"/>
      <c r="AD157" s="69"/>
      <c r="AE157" s="69"/>
      <c r="AF157" s="69"/>
      <c r="AG157" s="69"/>
      <c r="AH157" s="69"/>
    </row>
    <row r="158" spans="29:34" ht="12.75">
      <c r="AC158" s="69"/>
      <c r="AD158" s="69"/>
      <c r="AE158" s="69"/>
      <c r="AF158" s="69"/>
      <c r="AG158" s="69"/>
      <c r="AH158" s="69"/>
    </row>
    <row r="159" spans="29:34" ht="12.75">
      <c r="AC159" s="69"/>
      <c r="AD159" s="69"/>
      <c r="AE159" s="69"/>
      <c r="AF159" s="69"/>
      <c r="AG159" s="69"/>
      <c r="AH159" s="69"/>
    </row>
    <row r="160" spans="29:34" ht="12.75">
      <c r="AC160" s="69"/>
      <c r="AD160" s="69"/>
      <c r="AE160" s="69"/>
      <c r="AF160" s="69"/>
      <c r="AG160" s="69"/>
      <c r="AH160" s="69"/>
    </row>
    <row r="161" spans="29:34" ht="12.75">
      <c r="AC161" s="69"/>
      <c r="AD161" s="69"/>
      <c r="AE161" s="69"/>
      <c r="AF161" s="69"/>
      <c r="AG161" s="69"/>
      <c r="AH161" s="69"/>
    </row>
    <row r="162" spans="29:34" ht="12.75">
      <c r="AC162" s="69"/>
      <c r="AD162" s="69"/>
      <c r="AE162" s="69"/>
      <c r="AF162" s="69"/>
      <c r="AG162" s="69"/>
      <c r="AH162" s="69"/>
    </row>
    <row r="163" spans="29:34" ht="12.75">
      <c r="AC163" s="69"/>
      <c r="AD163" s="69"/>
      <c r="AE163" s="69"/>
      <c r="AF163" s="69"/>
      <c r="AG163" s="69"/>
      <c r="AH163" s="69"/>
    </row>
    <row r="164" spans="29:34" ht="12.75">
      <c r="AC164" s="69"/>
      <c r="AD164" s="69"/>
      <c r="AE164" s="69"/>
      <c r="AF164" s="69"/>
      <c r="AG164" s="69"/>
      <c r="AH164" s="69"/>
    </row>
    <row r="165" spans="29:34" ht="12.75">
      <c r="AC165" s="69"/>
      <c r="AD165" s="69"/>
      <c r="AE165" s="69"/>
      <c r="AF165" s="69"/>
      <c r="AG165" s="69"/>
      <c r="AH165" s="69"/>
    </row>
    <row r="166" spans="29:34" ht="12.75">
      <c r="AC166" s="69"/>
      <c r="AD166" s="69"/>
      <c r="AE166" s="69"/>
      <c r="AF166" s="69"/>
      <c r="AG166" s="69"/>
      <c r="AH166" s="69"/>
    </row>
    <row r="167" spans="29:34" ht="12.75">
      <c r="AC167" s="69"/>
      <c r="AD167" s="69"/>
      <c r="AE167" s="69"/>
      <c r="AF167" s="69"/>
      <c r="AG167" s="69"/>
      <c r="AH167" s="69"/>
    </row>
    <row r="168" spans="29:34" ht="12.75">
      <c r="AC168" s="69"/>
      <c r="AD168" s="69"/>
      <c r="AE168" s="69"/>
      <c r="AF168" s="69"/>
      <c r="AG168" s="69"/>
      <c r="AH168" s="69"/>
    </row>
    <row r="169" spans="29:34" ht="12.75">
      <c r="AC169" s="69"/>
      <c r="AD169" s="69"/>
      <c r="AE169" s="69"/>
      <c r="AF169" s="69"/>
      <c r="AG169" s="69"/>
      <c r="AH169" s="69"/>
    </row>
    <row r="170" spans="29:34" ht="12.75">
      <c r="AC170" s="69"/>
      <c r="AD170" s="69"/>
      <c r="AE170" s="69"/>
      <c r="AF170" s="69"/>
      <c r="AG170" s="69"/>
      <c r="AH170" s="69"/>
    </row>
    <row r="171" spans="29:34" ht="12.75">
      <c r="AC171" s="69"/>
      <c r="AD171" s="69"/>
      <c r="AE171" s="69"/>
      <c r="AF171" s="69"/>
      <c r="AG171" s="69"/>
      <c r="AH171" s="69"/>
    </row>
    <row r="172" spans="29:34" ht="12.75">
      <c r="AC172" s="69"/>
      <c r="AD172" s="69"/>
      <c r="AE172" s="69"/>
      <c r="AF172" s="69"/>
      <c r="AG172" s="69"/>
      <c r="AH172" s="69"/>
    </row>
    <row r="173" spans="29:34" ht="12.75">
      <c r="AC173" s="69"/>
      <c r="AD173" s="69"/>
      <c r="AE173" s="69"/>
      <c r="AF173" s="69"/>
      <c r="AG173" s="69"/>
      <c r="AH173" s="69"/>
    </row>
    <row r="174" spans="29:34" ht="12.75">
      <c r="AC174" s="69"/>
      <c r="AD174" s="69"/>
      <c r="AE174" s="69"/>
      <c r="AF174" s="69"/>
      <c r="AG174" s="69"/>
      <c r="AH174" s="69"/>
    </row>
    <row r="175" spans="29:34" ht="12.75">
      <c r="AC175" s="69"/>
      <c r="AD175" s="69"/>
      <c r="AE175" s="69"/>
      <c r="AF175" s="69"/>
      <c r="AG175" s="69"/>
      <c r="AH175" s="69"/>
    </row>
    <row r="176" spans="29:34" ht="12.75">
      <c r="AC176" s="69"/>
      <c r="AD176" s="69"/>
      <c r="AE176" s="69"/>
      <c r="AF176" s="69"/>
      <c r="AG176" s="69"/>
      <c r="AH176" s="69"/>
    </row>
    <row r="177" spans="29:34" ht="12.75">
      <c r="AC177" s="69"/>
      <c r="AD177" s="69"/>
      <c r="AE177" s="69"/>
      <c r="AF177" s="69"/>
      <c r="AG177" s="69"/>
      <c r="AH177" s="69"/>
    </row>
    <row r="178" spans="29:34" ht="12.75">
      <c r="AC178" s="69"/>
      <c r="AD178" s="69"/>
      <c r="AE178" s="69"/>
      <c r="AF178" s="69"/>
      <c r="AG178" s="69"/>
      <c r="AH178" s="69"/>
    </row>
    <row r="179" spans="29:34" ht="12.75">
      <c r="AC179" s="69"/>
      <c r="AD179" s="69"/>
      <c r="AE179" s="69"/>
      <c r="AF179" s="69"/>
      <c r="AG179" s="69"/>
      <c r="AH179" s="69"/>
    </row>
    <row r="180" spans="29:34" ht="12.75">
      <c r="AC180" s="69"/>
      <c r="AD180" s="69"/>
      <c r="AE180" s="69"/>
      <c r="AF180" s="69"/>
      <c r="AG180" s="69"/>
      <c r="AH180" s="69"/>
    </row>
    <row r="181" spans="29:34" ht="12.75">
      <c r="AC181" s="69"/>
      <c r="AD181" s="69"/>
      <c r="AE181" s="69"/>
      <c r="AF181" s="69"/>
      <c r="AG181" s="69"/>
      <c r="AH181" s="69"/>
    </row>
    <row r="182" spans="29:34" ht="12.75">
      <c r="AC182" s="69"/>
      <c r="AD182" s="69"/>
      <c r="AE182" s="69"/>
      <c r="AF182" s="69"/>
      <c r="AG182" s="69"/>
      <c r="AH182" s="69"/>
    </row>
    <row r="183" spans="29:34" ht="12.75">
      <c r="AC183" s="69"/>
      <c r="AD183" s="69"/>
      <c r="AE183" s="69"/>
      <c r="AF183" s="69"/>
      <c r="AG183" s="69"/>
      <c r="AH183" s="69"/>
    </row>
    <row r="184" spans="29:34" ht="12.75">
      <c r="AC184" s="69"/>
      <c r="AD184" s="69"/>
      <c r="AE184" s="69"/>
      <c r="AF184" s="69"/>
      <c r="AG184" s="69"/>
      <c r="AH184" s="69"/>
    </row>
    <row r="185" spans="29:34" ht="12.75">
      <c r="AC185" s="69"/>
      <c r="AD185" s="69"/>
      <c r="AE185" s="69"/>
      <c r="AF185" s="69"/>
      <c r="AG185" s="69"/>
      <c r="AH185" s="69"/>
    </row>
    <row r="186" spans="29:34" ht="12.75">
      <c r="AC186" s="69"/>
      <c r="AD186" s="69"/>
      <c r="AE186" s="69"/>
      <c r="AF186" s="69"/>
      <c r="AG186" s="69"/>
      <c r="AH186" s="69"/>
    </row>
    <row r="187" spans="29:34" ht="12.75">
      <c r="AC187" s="69"/>
      <c r="AD187" s="69"/>
      <c r="AE187" s="69"/>
      <c r="AF187" s="69"/>
      <c r="AG187" s="69"/>
      <c r="AH187" s="69"/>
    </row>
    <row r="188" spans="29:34" ht="12.75">
      <c r="AC188" s="69"/>
      <c r="AD188" s="69"/>
      <c r="AE188" s="69"/>
      <c r="AF188" s="69"/>
      <c r="AG188" s="69"/>
      <c r="AH188" s="69"/>
    </row>
    <row r="189" spans="29:34" ht="12.75">
      <c r="AC189" s="69"/>
      <c r="AD189" s="69"/>
      <c r="AE189" s="69"/>
      <c r="AF189" s="69"/>
      <c r="AG189" s="69"/>
      <c r="AH189" s="69"/>
    </row>
    <row r="190" spans="29:34" ht="12.75">
      <c r="AC190" s="69"/>
      <c r="AD190" s="69"/>
      <c r="AE190" s="69"/>
      <c r="AF190" s="69"/>
      <c r="AG190" s="69"/>
      <c r="AH190" s="69"/>
    </row>
    <row r="191" spans="29:34" ht="12.75">
      <c r="AC191" s="69"/>
      <c r="AD191" s="69"/>
      <c r="AE191" s="69"/>
      <c r="AF191" s="69"/>
      <c r="AG191" s="69"/>
      <c r="AH191" s="69"/>
    </row>
    <row r="192" spans="29:34" ht="12.75">
      <c r="AC192" s="69"/>
      <c r="AD192" s="69"/>
      <c r="AE192" s="69"/>
      <c r="AF192" s="69"/>
      <c r="AG192" s="69"/>
      <c r="AH192" s="69"/>
    </row>
    <row r="193" spans="29:34" ht="12.75">
      <c r="AC193" s="69"/>
      <c r="AD193" s="69"/>
      <c r="AE193" s="69"/>
      <c r="AF193" s="69"/>
      <c r="AG193" s="69"/>
      <c r="AH193" s="69"/>
    </row>
    <row r="194" spans="29:34" ht="12.75">
      <c r="AC194" s="69"/>
      <c r="AD194" s="69"/>
      <c r="AE194" s="69"/>
      <c r="AF194" s="69"/>
      <c r="AG194" s="69"/>
      <c r="AH194" s="69"/>
    </row>
    <row r="195" spans="29:34" ht="12.75">
      <c r="AC195" s="69"/>
      <c r="AD195" s="69"/>
      <c r="AE195" s="69"/>
      <c r="AF195" s="69"/>
      <c r="AG195" s="69"/>
      <c r="AH195" s="69"/>
    </row>
    <row r="196" spans="29:34" ht="12.75">
      <c r="AC196" s="69"/>
      <c r="AD196" s="69"/>
      <c r="AE196" s="69"/>
      <c r="AF196" s="69"/>
      <c r="AG196" s="69"/>
      <c r="AH196" s="69"/>
    </row>
    <row r="197" spans="29:34" ht="12.75">
      <c r="AC197" s="69"/>
      <c r="AD197" s="69"/>
      <c r="AE197" s="69"/>
      <c r="AF197" s="69"/>
      <c r="AG197" s="69"/>
      <c r="AH197" s="69"/>
    </row>
    <row r="198" spans="29:34" ht="12.75">
      <c r="AC198" s="69"/>
      <c r="AD198" s="69"/>
      <c r="AE198" s="69"/>
      <c r="AF198" s="69"/>
      <c r="AG198" s="69"/>
      <c r="AH198" s="69"/>
    </row>
    <row r="199" spans="29:34" ht="12.75">
      <c r="AC199" s="69"/>
      <c r="AD199" s="69"/>
      <c r="AE199" s="69"/>
      <c r="AF199" s="69"/>
      <c r="AG199" s="69"/>
      <c r="AH199" s="69"/>
    </row>
    <row r="200" spans="29:34" ht="12.75">
      <c r="AC200" s="69"/>
      <c r="AD200" s="69"/>
      <c r="AE200" s="69"/>
      <c r="AF200" s="69"/>
      <c r="AG200" s="69"/>
      <c r="AH200" s="69"/>
    </row>
    <row r="201" spans="29:34" ht="12.75">
      <c r="AC201" s="69"/>
      <c r="AD201" s="69"/>
      <c r="AE201" s="69"/>
      <c r="AF201" s="69"/>
      <c r="AG201" s="69"/>
      <c r="AH201" s="69"/>
    </row>
    <row r="202" spans="29:34" ht="12.75">
      <c r="AC202" s="69"/>
      <c r="AD202" s="69"/>
      <c r="AE202" s="69"/>
      <c r="AF202" s="69"/>
      <c r="AG202" s="69"/>
      <c r="AH202" s="69"/>
    </row>
    <row r="203" spans="29:34" ht="12.75">
      <c r="AC203" s="69"/>
      <c r="AD203" s="69"/>
      <c r="AE203" s="69"/>
      <c r="AF203" s="69"/>
      <c r="AG203" s="69"/>
      <c r="AH203" s="69"/>
    </row>
    <row r="204" spans="29:34" ht="12.75">
      <c r="AC204" s="69"/>
      <c r="AD204" s="69"/>
      <c r="AE204" s="69"/>
      <c r="AF204" s="69"/>
      <c r="AG204" s="69"/>
      <c r="AH204" s="69"/>
    </row>
    <row r="205" spans="29:34" ht="12.75">
      <c r="AC205" s="69"/>
      <c r="AD205" s="69"/>
      <c r="AE205" s="69"/>
      <c r="AF205" s="69"/>
      <c r="AG205" s="69"/>
      <c r="AH205" s="69"/>
    </row>
    <row r="206" spans="29:34" ht="12.75">
      <c r="AC206" s="69"/>
      <c r="AD206" s="69"/>
      <c r="AE206" s="69"/>
      <c r="AF206" s="69"/>
      <c r="AG206" s="69"/>
      <c r="AH206" s="69"/>
    </row>
    <row r="207" spans="29:34" ht="12.75">
      <c r="AC207" s="69"/>
      <c r="AD207" s="69"/>
      <c r="AE207" s="69"/>
      <c r="AF207" s="69"/>
      <c r="AG207" s="69"/>
      <c r="AH207" s="69"/>
    </row>
    <row r="208" spans="29:34" ht="12.75">
      <c r="AC208" s="69"/>
      <c r="AD208" s="69"/>
      <c r="AE208" s="69"/>
      <c r="AF208" s="69"/>
      <c r="AG208" s="69"/>
      <c r="AH208" s="69"/>
    </row>
    <row r="209" spans="29:34" ht="12.75">
      <c r="AC209" s="69"/>
      <c r="AD209" s="69"/>
      <c r="AE209" s="69"/>
      <c r="AF209" s="69"/>
      <c r="AG209" s="69"/>
      <c r="AH209" s="69"/>
    </row>
    <row r="210" spans="29:34" ht="12.75">
      <c r="AC210" s="69"/>
      <c r="AD210" s="69"/>
      <c r="AE210" s="69"/>
      <c r="AF210" s="69"/>
      <c r="AG210" s="69"/>
      <c r="AH210" s="69"/>
    </row>
    <row r="211" spans="29:34" ht="12.75">
      <c r="AC211" s="69"/>
      <c r="AD211" s="69"/>
      <c r="AE211" s="69"/>
      <c r="AF211" s="69"/>
      <c r="AG211" s="69"/>
      <c r="AH211" s="69"/>
    </row>
    <row r="212" spans="29:34" ht="12.75">
      <c r="AC212" s="69"/>
      <c r="AD212" s="69"/>
      <c r="AE212" s="69"/>
      <c r="AF212" s="69"/>
      <c r="AG212" s="69"/>
      <c r="AH212" s="69"/>
    </row>
    <row r="213" spans="29:34" ht="12.75">
      <c r="AC213" s="69"/>
      <c r="AD213" s="69"/>
      <c r="AE213" s="69"/>
      <c r="AF213" s="69"/>
      <c r="AG213" s="69"/>
      <c r="AH213" s="69"/>
    </row>
    <row r="214" spans="29:34" ht="12.75">
      <c r="AC214" s="69"/>
      <c r="AD214" s="69"/>
      <c r="AE214" s="69"/>
      <c r="AF214" s="69"/>
      <c r="AG214" s="69"/>
      <c r="AH214" s="69"/>
    </row>
    <row r="215" spans="29:34" ht="12.75">
      <c r="AC215" s="69"/>
      <c r="AD215" s="69"/>
      <c r="AE215" s="69"/>
      <c r="AF215" s="69"/>
      <c r="AG215" s="69"/>
      <c r="AH215" s="69"/>
    </row>
    <row r="216" spans="29:34" ht="12.75">
      <c r="AC216" s="69"/>
      <c r="AD216" s="69"/>
      <c r="AE216" s="69"/>
      <c r="AF216" s="69"/>
      <c r="AG216" s="69"/>
      <c r="AH216" s="69"/>
    </row>
    <row r="217" spans="29:34" ht="12.75">
      <c r="AC217" s="69"/>
      <c r="AD217" s="69"/>
      <c r="AE217" s="69"/>
      <c r="AF217" s="69"/>
      <c r="AG217" s="69"/>
      <c r="AH217" s="69"/>
    </row>
    <row r="218" spans="29:34" ht="12.75">
      <c r="AC218" s="69"/>
      <c r="AD218" s="69"/>
      <c r="AE218" s="69"/>
      <c r="AF218" s="69"/>
      <c r="AG218" s="69"/>
      <c r="AH218" s="69"/>
    </row>
    <row r="219" spans="29:34" ht="12.75">
      <c r="AC219" s="69"/>
      <c r="AD219" s="69"/>
      <c r="AE219" s="69"/>
      <c r="AF219" s="69"/>
      <c r="AG219" s="69"/>
      <c r="AH219" s="69"/>
    </row>
    <row r="220" spans="29:34" ht="12.75">
      <c r="AC220" s="69"/>
      <c r="AD220" s="69"/>
      <c r="AE220" s="69"/>
      <c r="AF220" s="69"/>
      <c r="AG220" s="69"/>
      <c r="AH220" s="69"/>
    </row>
    <row r="221" spans="29:34" ht="12.75">
      <c r="AC221" s="69"/>
      <c r="AD221" s="69"/>
      <c r="AE221" s="69"/>
      <c r="AF221" s="69"/>
      <c r="AG221" s="69"/>
      <c r="AH221" s="69"/>
    </row>
    <row r="222" spans="29:34" ht="12.75">
      <c r="AC222" s="69"/>
      <c r="AD222" s="69"/>
      <c r="AE222" s="69"/>
      <c r="AF222" s="69"/>
      <c r="AG222" s="69"/>
      <c r="AH222" s="69"/>
    </row>
    <row r="223" spans="29:34" ht="12.75">
      <c r="AC223" s="69"/>
      <c r="AD223" s="69"/>
      <c r="AE223" s="69"/>
      <c r="AF223" s="69"/>
      <c r="AG223" s="69"/>
      <c r="AH223" s="69"/>
    </row>
    <row r="224" spans="29:34" ht="12.75">
      <c r="AC224" s="69"/>
      <c r="AD224" s="69"/>
      <c r="AE224" s="69"/>
      <c r="AF224" s="69"/>
      <c r="AG224" s="69"/>
      <c r="AH224" s="69"/>
    </row>
    <row r="225" spans="29:34" ht="12.75">
      <c r="AC225" s="69"/>
      <c r="AD225" s="69"/>
      <c r="AE225" s="69"/>
      <c r="AF225" s="69"/>
      <c r="AG225" s="69"/>
      <c r="AH225" s="69"/>
    </row>
    <row r="226" spans="29:34" ht="12.75">
      <c r="AC226" s="69"/>
      <c r="AD226" s="69"/>
      <c r="AE226" s="69"/>
      <c r="AF226" s="69"/>
      <c r="AG226" s="69"/>
      <c r="AH226" s="69"/>
    </row>
    <row r="227" spans="29:34" ht="12.75">
      <c r="AC227" s="69"/>
      <c r="AD227" s="69"/>
      <c r="AE227" s="69"/>
      <c r="AF227" s="69"/>
      <c r="AG227" s="69"/>
      <c r="AH227" s="69"/>
    </row>
    <row r="228" spans="29:34" ht="12.75">
      <c r="AC228" s="69"/>
      <c r="AD228" s="69"/>
      <c r="AE228" s="69"/>
      <c r="AF228" s="69"/>
      <c r="AG228" s="69"/>
      <c r="AH228" s="69"/>
    </row>
    <row r="229" spans="29:34" ht="12.75">
      <c r="AC229" s="69"/>
      <c r="AD229" s="69"/>
      <c r="AE229" s="69"/>
      <c r="AF229" s="69"/>
      <c r="AG229" s="69"/>
      <c r="AH229" s="69"/>
    </row>
    <row r="230" spans="29:34" ht="12.75">
      <c r="AC230" s="69"/>
      <c r="AD230" s="69"/>
      <c r="AE230" s="69"/>
      <c r="AF230" s="69"/>
      <c r="AG230" s="69"/>
      <c r="AH230" s="69"/>
    </row>
    <row r="231" spans="29:34" ht="12.75">
      <c r="AC231" s="69"/>
      <c r="AD231" s="69"/>
      <c r="AE231" s="69"/>
      <c r="AF231" s="69"/>
      <c r="AG231" s="69"/>
      <c r="AH231" s="69"/>
    </row>
    <row r="232" spans="29:34" ht="12.75">
      <c r="AC232" s="69"/>
      <c r="AD232" s="69"/>
      <c r="AE232" s="69"/>
      <c r="AF232" s="69"/>
      <c r="AG232" s="69"/>
      <c r="AH232" s="69"/>
    </row>
    <row r="233" spans="29:34" ht="12.75">
      <c r="AC233" s="69"/>
      <c r="AD233" s="69"/>
      <c r="AE233" s="69"/>
      <c r="AF233" s="69"/>
      <c r="AG233" s="69"/>
      <c r="AH233" s="69"/>
    </row>
    <row r="234" spans="29:34" ht="12.75">
      <c r="AC234" s="69"/>
      <c r="AD234" s="69"/>
      <c r="AE234" s="69"/>
      <c r="AF234" s="69"/>
      <c r="AG234" s="69"/>
      <c r="AH234" s="69"/>
    </row>
    <row r="235" spans="29:34" ht="12.75">
      <c r="AC235" s="69"/>
      <c r="AD235" s="69"/>
      <c r="AE235" s="69"/>
      <c r="AF235" s="69"/>
      <c r="AG235" s="69"/>
      <c r="AH235" s="69"/>
    </row>
    <row r="236" spans="29:34" ht="12.75">
      <c r="AC236" s="69"/>
      <c r="AD236" s="69"/>
      <c r="AE236" s="69"/>
      <c r="AF236" s="69"/>
      <c r="AG236" s="69"/>
      <c r="AH236" s="69"/>
    </row>
    <row r="237" spans="29:34" ht="12.75">
      <c r="AC237" s="69"/>
      <c r="AD237" s="69"/>
      <c r="AE237" s="69"/>
      <c r="AF237" s="69"/>
      <c r="AG237" s="69"/>
      <c r="AH237" s="69"/>
    </row>
    <row r="238" spans="29:34" ht="12.75">
      <c r="AC238" s="69"/>
      <c r="AD238" s="69"/>
      <c r="AE238" s="69"/>
      <c r="AF238" s="69"/>
      <c r="AG238" s="69"/>
      <c r="AH238" s="69"/>
    </row>
    <row r="239" spans="29:34" ht="12.75">
      <c r="AC239" s="69"/>
      <c r="AD239" s="69"/>
      <c r="AE239" s="69"/>
      <c r="AF239" s="69"/>
      <c r="AG239" s="69"/>
      <c r="AH239" s="69"/>
    </row>
    <row r="240" spans="29:34" ht="12.75">
      <c r="AC240" s="69"/>
      <c r="AD240" s="69"/>
      <c r="AE240" s="69"/>
      <c r="AF240" s="69"/>
      <c r="AG240" s="69"/>
      <c r="AH240" s="69"/>
    </row>
    <row r="241" spans="29:34" ht="12.75">
      <c r="AC241" s="69"/>
      <c r="AD241" s="69"/>
      <c r="AE241" s="69"/>
      <c r="AF241" s="69"/>
      <c r="AG241" s="69"/>
      <c r="AH241" s="69"/>
    </row>
    <row r="242" spans="29:34" ht="12.75">
      <c r="AC242" s="69"/>
      <c r="AD242" s="69"/>
      <c r="AE242" s="69"/>
      <c r="AF242" s="69"/>
      <c r="AG242" s="69"/>
      <c r="AH242" s="69"/>
    </row>
    <row r="243" spans="29:34" ht="12.75">
      <c r="AC243" s="69"/>
      <c r="AD243" s="69"/>
      <c r="AE243" s="69"/>
      <c r="AF243" s="69"/>
      <c r="AG243" s="69"/>
      <c r="AH243" s="69"/>
    </row>
    <row r="244" spans="29:34" ht="12.75">
      <c r="AC244" s="69"/>
      <c r="AD244" s="69"/>
      <c r="AE244" s="69"/>
      <c r="AF244" s="69"/>
      <c r="AG244" s="69"/>
      <c r="AH244" s="69"/>
    </row>
    <row r="245" spans="29:34" ht="12.75">
      <c r="AC245" s="69"/>
      <c r="AD245" s="69"/>
      <c r="AE245" s="69"/>
      <c r="AF245" s="69"/>
      <c r="AG245" s="69"/>
      <c r="AH245" s="69"/>
    </row>
    <row r="246" spans="29:34" ht="12.75">
      <c r="AC246" s="69"/>
      <c r="AD246" s="69"/>
      <c r="AE246" s="69"/>
      <c r="AF246" s="69"/>
      <c r="AG246" s="69"/>
      <c r="AH246" s="69"/>
    </row>
    <row r="247" spans="29:34" ht="12.75">
      <c r="AC247" s="69"/>
      <c r="AD247" s="69"/>
      <c r="AE247" s="69"/>
      <c r="AF247" s="69"/>
      <c r="AG247" s="69"/>
      <c r="AH247" s="69"/>
    </row>
    <row r="248" spans="29:34" ht="12.75">
      <c r="AC248" s="69"/>
      <c r="AD248" s="69"/>
      <c r="AE248" s="69"/>
      <c r="AF248" s="69"/>
      <c r="AG248" s="69"/>
      <c r="AH248" s="69"/>
    </row>
    <row r="249" spans="29:34" ht="12.75">
      <c r="AC249" s="69"/>
      <c r="AD249" s="69"/>
      <c r="AE249" s="69"/>
      <c r="AF249" s="69"/>
      <c r="AG249" s="69"/>
      <c r="AH249" s="69"/>
    </row>
    <row r="250" spans="29:34" ht="12.75">
      <c r="AC250" s="69"/>
      <c r="AD250" s="69"/>
      <c r="AE250" s="69"/>
      <c r="AF250" s="69"/>
      <c r="AG250" s="69"/>
      <c r="AH250" s="69"/>
    </row>
    <row r="251" spans="29:34" ht="12.75">
      <c r="AC251" s="69"/>
      <c r="AD251" s="69"/>
      <c r="AE251" s="69"/>
      <c r="AF251" s="69"/>
      <c r="AG251" s="69"/>
      <c r="AH251" s="69"/>
    </row>
    <row r="252" spans="29:34" ht="12.75">
      <c r="AC252" s="69"/>
      <c r="AD252" s="69"/>
      <c r="AE252" s="69"/>
      <c r="AF252" s="69"/>
      <c r="AG252" s="69"/>
      <c r="AH252" s="69"/>
    </row>
    <row r="253" spans="29:34" ht="12.75">
      <c r="AC253" s="69"/>
      <c r="AD253" s="69"/>
      <c r="AE253" s="69"/>
      <c r="AF253" s="69"/>
      <c r="AG253" s="69"/>
      <c r="AH253" s="69"/>
    </row>
    <row r="254" spans="29:34" ht="12.75">
      <c r="AC254" s="69"/>
      <c r="AD254" s="69"/>
      <c r="AE254" s="69"/>
      <c r="AF254" s="69"/>
      <c r="AG254" s="69"/>
      <c r="AH254" s="69"/>
    </row>
    <row r="255" spans="29:34" ht="12.75">
      <c r="AC255" s="69"/>
      <c r="AD255" s="69"/>
      <c r="AE255" s="69"/>
      <c r="AF255" s="69"/>
      <c r="AG255" s="69"/>
      <c r="AH255" s="69"/>
    </row>
    <row r="256" spans="29:34" ht="12.75">
      <c r="AC256" s="69"/>
      <c r="AD256" s="69"/>
      <c r="AE256" s="69"/>
      <c r="AF256" s="69"/>
      <c r="AG256" s="69"/>
      <c r="AH256" s="69"/>
    </row>
    <row r="257" spans="29:34" ht="12.75">
      <c r="AC257" s="69"/>
      <c r="AD257" s="69"/>
      <c r="AE257" s="69"/>
      <c r="AF257" s="69"/>
      <c r="AG257" s="69"/>
      <c r="AH257" s="69"/>
    </row>
    <row r="258" spans="29:34" ht="12.75">
      <c r="AC258" s="69"/>
      <c r="AD258" s="69"/>
      <c r="AE258" s="69"/>
      <c r="AF258" s="69"/>
      <c r="AG258" s="69"/>
      <c r="AH258" s="69"/>
    </row>
    <row r="259" spans="29:34" ht="12.75">
      <c r="AC259" s="69"/>
      <c r="AD259" s="69"/>
      <c r="AE259" s="69"/>
      <c r="AF259" s="69"/>
      <c r="AG259" s="69"/>
      <c r="AH259" s="69"/>
    </row>
    <row r="260" spans="29:34" ht="12.75">
      <c r="AC260" s="69"/>
      <c r="AD260" s="69"/>
      <c r="AE260" s="69"/>
      <c r="AF260" s="69"/>
      <c r="AG260" s="69"/>
      <c r="AH260" s="69"/>
    </row>
    <row r="261" spans="29:34" ht="12.75">
      <c r="AC261" s="69"/>
      <c r="AD261" s="69"/>
      <c r="AE261" s="69"/>
      <c r="AF261" s="69"/>
      <c r="AG261" s="69"/>
      <c r="AH261" s="69"/>
    </row>
    <row r="262" spans="29:34" ht="12.75">
      <c r="AC262" s="69"/>
      <c r="AD262" s="69"/>
      <c r="AE262" s="69"/>
      <c r="AF262" s="69"/>
      <c r="AG262" s="69"/>
      <c r="AH262" s="69"/>
    </row>
    <row r="263" spans="29:34" ht="12.75">
      <c r="AC263" s="69"/>
      <c r="AD263" s="69"/>
      <c r="AE263" s="69"/>
      <c r="AF263" s="69"/>
      <c r="AG263" s="69"/>
      <c r="AH263" s="69"/>
    </row>
    <row r="264" spans="29:34" ht="12.75">
      <c r="AC264" s="69"/>
      <c r="AD264" s="69"/>
      <c r="AE264" s="69"/>
      <c r="AF264" s="69"/>
      <c r="AG264" s="69"/>
      <c r="AH264" s="69"/>
    </row>
    <row r="265" spans="29:34" ht="12.75">
      <c r="AC265" s="69"/>
      <c r="AD265" s="69"/>
      <c r="AE265" s="69"/>
      <c r="AF265" s="69"/>
      <c r="AG265" s="69"/>
      <c r="AH265" s="69"/>
    </row>
    <row r="266" spans="29:34" ht="12.75">
      <c r="AC266" s="69"/>
      <c r="AD266" s="69"/>
      <c r="AE266" s="69"/>
      <c r="AF266" s="69"/>
      <c r="AG266" s="69"/>
      <c r="AH266" s="69"/>
    </row>
    <row r="267" spans="29:34" ht="12.75">
      <c r="AC267" s="69"/>
      <c r="AD267" s="69"/>
      <c r="AE267" s="69"/>
      <c r="AF267" s="69"/>
      <c r="AG267" s="69"/>
      <c r="AH267" s="69"/>
    </row>
    <row r="268" spans="29:34" ht="12.75">
      <c r="AC268" s="69"/>
      <c r="AD268" s="69"/>
      <c r="AE268" s="69"/>
      <c r="AF268" s="69"/>
      <c r="AG268" s="69"/>
      <c r="AH268" s="69"/>
    </row>
    <row r="269" spans="29:34" ht="12.75">
      <c r="AC269" s="69"/>
      <c r="AD269" s="69"/>
      <c r="AE269" s="69"/>
      <c r="AF269" s="69"/>
      <c r="AG269" s="69"/>
      <c r="AH269" s="69"/>
    </row>
    <row r="270" spans="29:34" ht="12.75">
      <c r="AC270" s="69"/>
      <c r="AD270" s="69"/>
      <c r="AE270" s="69"/>
      <c r="AF270" s="69"/>
      <c r="AG270" s="69"/>
      <c r="AH270" s="69"/>
    </row>
    <row r="271" spans="29:34" ht="12.75">
      <c r="AC271" s="69"/>
      <c r="AD271" s="69"/>
      <c r="AE271" s="69"/>
      <c r="AF271" s="69"/>
      <c r="AG271" s="69"/>
      <c r="AH271" s="69"/>
    </row>
    <row r="272" spans="29:34" ht="12.75">
      <c r="AC272" s="69"/>
      <c r="AD272" s="69"/>
      <c r="AE272" s="69"/>
      <c r="AF272" s="69"/>
      <c r="AG272" s="69"/>
      <c r="AH272" s="69"/>
    </row>
    <row r="273" spans="29:34" ht="12.75">
      <c r="AC273" s="69"/>
      <c r="AD273" s="69"/>
      <c r="AE273" s="69"/>
      <c r="AF273" s="69"/>
      <c r="AG273" s="69"/>
      <c r="AH273" s="69"/>
    </row>
    <row r="274" spans="29:34" ht="12.75">
      <c r="AC274" s="69"/>
      <c r="AD274" s="69"/>
      <c r="AE274" s="69"/>
      <c r="AF274" s="69"/>
      <c r="AG274" s="69"/>
      <c r="AH274" s="69"/>
    </row>
    <row r="275" spans="29:34" ht="12.75">
      <c r="AC275" s="69"/>
      <c r="AD275" s="69"/>
      <c r="AE275" s="69"/>
      <c r="AF275" s="69"/>
      <c r="AG275" s="69"/>
      <c r="AH275" s="69"/>
    </row>
    <row r="276" spans="29:34" ht="12.75">
      <c r="AC276" s="69"/>
      <c r="AD276" s="69"/>
      <c r="AE276" s="69"/>
      <c r="AF276" s="69"/>
      <c r="AG276" s="69"/>
      <c r="AH276" s="69"/>
    </row>
    <row r="277" spans="29:34" ht="12.75">
      <c r="AC277" s="69"/>
      <c r="AD277" s="69"/>
      <c r="AE277" s="69"/>
      <c r="AF277" s="69"/>
      <c r="AG277" s="69"/>
      <c r="AH277" s="69"/>
    </row>
    <row r="278" spans="29:34" ht="12.75">
      <c r="AC278" s="69"/>
      <c r="AD278" s="69"/>
      <c r="AE278" s="69"/>
      <c r="AF278" s="69"/>
      <c r="AG278" s="69"/>
      <c r="AH278" s="69"/>
    </row>
    <row r="279" spans="29:34" ht="12.75">
      <c r="AC279" s="69"/>
      <c r="AD279" s="69"/>
      <c r="AE279" s="69"/>
      <c r="AF279" s="69"/>
      <c r="AG279" s="69"/>
      <c r="AH279" s="69"/>
    </row>
    <row r="280" spans="29:34" ht="12.75">
      <c r="AC280" s="69"/>
      <c r="AD280" s="69"/>
      <c r="AE280" s="69"/>
      <c r="AF280" s="69"/>
      <c r="AG280" s="69"/>
      <c r="AH280" s="69"/>
    </row>
    <row r="281" spans="29:34" ht="12.75">
      <c r="AC281" s="69"/>
      <c r="AD281" s="69"/>
      <c r="AE281" s="69"/>
      <c r="AF281" s="69"/>
      <c r="AG281" s="69"/>
      <c r="AH281" s="69"/>
    </row>
    <row r="282" spans="29:34" ht="12.75">
      <c r="AC282" s="69"/>
      <c r="AD282" s="69"/>
      <c r="AE282" s="69"/>
      <c r="AF282" s="69"/>
      <c r="AG282" s="69"/>
      <c r="AH282" s="69"/>
    </row>
    <row r="283" spans="29:34" ht="12.75">
      <c r="AC283" s="69"/>
      <c r="AD283" s="69"/>
      <c r="AE283" s="69"/>
      <c r="AF283" s="69"/>
      <c r="AG283" s="69"/>
      <c r="AH283" s="69"/>
    </row>
    <row r="284" spans="29:34" ht="12.75">
      <c r="AC284" s="69"/>
      <c r="AD284" s="69"/>
      <c r="AE284" s="69"/>
      <c r="AF284" s="69"/>
      <c r="AG284" s="69"/>
      <c r="AH284" s="69"/>
    </row>
    <row r="285" spans="29:34" ht="12.75">
      <c r="AC285" s="69"/>
      <c r="AD285" s="69"/>
      <c r="AE285" s="69"/>
      <c r="AF285" s="69"/>
      <c r="AG285" s="69"/>
      <c r="AH285" s="69"/>
    </row>
    <row r="286" spans="29:34" ht="12.75">
      <c r="AC286" s="69"/>
      <c r="AD286" s="69"/>
      <c r="AE286" s="69"/>
      <c r="AF286" s="69"/>
      <c r="AG286" s="69"/>
      <c r="AH286" s="69"/>
    </row>
    <row r="287" spans="29:34" ht="12.75">
      <c r="AC287" s="69"/>
      <c r="AD287" s="69"/>
      <c r="AE287" s="69"/>
      <c r="AF287" s="69"/>
      <c r="AG287" s="69"/>
      <c r="AH287" s="69"/>
    </row>
    <row r="288" spans="29:34" ht="12.75">
      <c r="AC288" s="69"/>
      <c r="AD288" s="69"/>
      <c r="AE288" s="69"/>
      <c r="AF288" s="69"/>
      <c r="AG288" s="69"/>
      <c r="AH288" s="69"/>
    </row>
    <row r="289" spans="29:34" ht="12.75">
      <c r="AC289" s="69"/>
      <c r="AD289" s="69"/>
      <c r="AE289" s="69"/>
      <c r="AF289" s="69"/>
      <c r="AG289" s="69"/>
      <c r="AH289" s="69"/>
    </row>
    <row r="290" spans="29:34" ht="12.75">
      <c r="AC290" s="69"/>
      <c r="AD290" s="69"/>
      <c r="AE290" s="69"/>
      <c r="AF290" s="69"/>
      <c r="AG290" s="69"/>
      <c r="AH290" s="69"/>
    </row>
    <row r="291" spans="29:34" ht="12.75">
      <c r="AC291" s="69"/>
      <c r="AD291" s="69"/>
      <c r="AE291" s="69"/>
      <c r="AF291" s="69"/>
      <c r="AG291" s="69"/>
      <c r="AH291" s="69"/>
    </row>
    <row r="292" spans="29:34" ht="12.75">
      <c r="AC292" s="69"/>
      <c r="AD292" s="69"/>
      <c r="AE292" s="69"/>
      <c r="AF292" s="69"/>
      <c r="AG292" s="69"/>
      <c r="AH292" s="69"/>
    </row>
    <row r="293" spans="29:34" ht="12.75">
      <c r="AC293" s="69"/>
      <c r="AD293" s="69"/>
      <c r="AE293" s="69"/>
      <c r="AF293" s="69"/>
      <c r="AG293" s="69"/>
      <c r="AH293" s="69"/>
    </row>
    <row r="294" spans="29:34" ht="12.75">
      <c r="AC294" s="69"/>
      <c r="AD294" s="69"/>
      <c r="AE294" s="69"/>
      <c r="AF294" s="69"/>
      <c r="AG294" s="69"/>
      <c r="AH294" s="69"/>
    </row>
    <row r="295" spans="29:34" ht="12.75">
      <c r="AC295" s="69"/>
      <c r="AD295" s="69"/>
      <c r="AE295" s="69"/>
      <c r="AF295" s="69"/>
      <c r="AG295" s="69"/>
      <c r="AH295" s="69"/>
    </row>
    <row r="296" spans="29:34" ht="12.75">
      <c r="AC296" s="69"/>
      <c r="AD296" s="69"/>
      <c r="AE296" s="69"/>
      <c r="AF296" s="69"/>
      <c r="AG296" s="69"/>
      <c r="AH296" s="69"/>
    </row>
    <row r="297" spans="29:34" ht="12.75">
      <c r="AC297" s="69"/>
      <c r="AD297" s="69"/>
      <c r="AE297" s="69"/>
      <c r="AF297" s="69"/>
      <c r="AG297" s="69"/>
      <c r="AH297" s="69"/>
    </row>
    <row r="298" spans="29:34" ht="12.75">
      <c r="AC298" s="69"/>
      <c r="AD298" s="69"/>
      <c r="AE298" s="69"/>
      <c r="AF298" s="69"/>
      <c r="AG298" s="69"/>
      <c r="AH298" s="69"/>
    </row>
    <row r="299" spans="29:34" ht="12.75">
      <c r="AC299" s="69"/>
      <c r="AD299" s="69"/>
      <c r="AE299" s="69"/>
      <c r="AF299" s="69"/>
      <c r="AG299" s="69"/>
      <c r="AH299" s="69"/>
    </row>
    <row r="300" spans="29:34" ht="12.75">
      <c r="AC300" s="69"/>
      <c r="AD300" s="69"/>
      <c r="AE300" s="69"/>
      <c r="AF300" s="69"/>
      <c r="AG300" s="69"/>
      <c r="AH300" s="69"/>
    </row>
    <row r="301" spans="29:34" ht="12.75">
      <c r="AC301" s="69"/>
      <c r="AD301" s="69"/>
      <c r="AE301" s="69"/>
      <c r="AF301" s="69"/>
      <c r="AG301" s="69"/>
      <c r="AH301" s="69"/>
    </row>
    <row r="302" spans="29:34" ht="12.75">
      <c r="AC302" s="69"/>
      <c r="AD302" s="69"/>
      <c r="AE302" s="69"/>
      <c r="AF302" s="69"/>
      <c r="AG302" s="69"/>
      <c r="AH302" s="69"/>
    </row>
    <row r="303" spans="29:34" ht="12.75">
      <c r="AC303" s="69"/>
      <c r="AD303" s="69"/>
      <c r="AE303" s="69"/>
      <c r="AF303" s="69"/>
      <c r="AG303" s="69"/>
      <c r="AH303" s="69"/>
    </row>
    <row r="304" spans="29:34" ht="12.75">
      <c r="AC304" s="69"/>
      <c r="AD304" s="69"/>
      <c r="AE304" s="69"/>
      <c r="AF304" s="69"/>
      <c r="AG304" s="69"/>
      <c r="AH304" s="69"/>
    </row>
    <row r="305" spans="29:34" ht="12.75">
      <c r="AC305" s="69"/>
      <c r="AD305" s="69"/>
      <c r="AE305" s="69"/>
      <c r="AF305" s="69"/>
      <c r="AG305" s="69"/>
      <c r="AH305" s="69"/>
    </row>
    <row r="306" spans="29:34" ht="12.75">
      <c r="AC306" s="69"/>
      <c r="AD306" s="69"/>
      <c r="AE306" s="69"/>
      <c r="AF306" s="69"/>
      <c r="AG306" s="69"/>
      <c r="AH306" s="69"/>
    </row>
    <row r="307" spans="29:34" ht="12.75">
      <c r="AC307" s="69"/>
      <c r="AD307" s="69"/>
      <c r="AE307" s="69"/>
      <c r="AF307" s="69"/>
      <c r="AG307" s="69"/>
      <c r="AH307" s="69"/>
    </row>
    <row r="308" spans="29:34" ht="12.75">
      <c r="AC308" s="69"/>
      <c r="AD308" s="69"/>
      <c r="AE308" s="69"/>
      <c r="AF308" s="69"/>
      <c r="AG308" s="69"/>
      <c r="AH308" s="69"/>
    </row>
    <row r="309" spans="29:34" ht="12.75">
      <c r="AC309" s="69"/>
      <c r="AD309" s="69"/>
      <c r="AE309" s="69"/>
      <c r="AF309" s="69"/>
      <c r="AG309" s="69"/>
      <c r="AH309" s="69"/>
    </row>
    <row r="310" spans="29:34" ht="12.75">
      <c r="AC310" s="69"/>
      <c r="AD310" s="69"/>
      <c r="AE310" s="69"/>
      <c r="AF310" s="69"/>
      <c r="AG310" s="69"/>
      <c r="AH310" s="69"/>
    </row>
    <row r="311" spans="29:34" ht="12.75">
      <c r="AC311" s="69"/>
      <c r="AD311" s="69"/>
      <c r="AE311" s="69"/>
      <c r="AF311" s="69"/>
      <c r="AG311" s="69"/>
      <c r="AH311" s="69"/>
    </row>
    <row r="312" spans="29:34" ht="12.75">
      <c r="AC312" s="69"/>
      <c r="AD312" s="69"/>
      <c r="AE312" s="69"/>
      <c r="AF312" s="69"/>
      <c r="AG312" s="69"/>
      <c r="AH312" s="69"/>
    </row>
    <row r="313" spans="29:34" ht="12.75">
      <c r="AC313" s="69"/>
      <c r="AD313" s="69"/>
      <c r="AE313" s="69"/>
      <c r="AF313" s="69"/>
      <c r="AG313" s="69"/>
      <c r="AH313" s="69"/>
    </row>
    <row r="314" spans="29:34" ht="12.75">
      <c r="AC314" s="69"/>
      <c r="AD314" s="69"/>
      <c r="AE314" s="69"/>
      <c r="AF314" s="69"/>
      <c r="AG314" s="69"/>
      <c r="AH314" s="69"/>
    </row>
    <row r="315" spans="29:34" ht="12.75">
      <c r="AC315" s="69"/>
      <c r="AD315" s="69"/>
      <c r="AE315" s="69"/>
      <c r="AF315" s="69"/>
      <c r="AG315" s="69"/>
      <c r="AH315" s="69"/>
    </row>
    <row r="316" spans="29:34" ht="12.75">
      <c r="AC316" s="69"/>
      <c r="AD316" s="69"/>
      <c r="AE316" s="69"/>
      <c r="AF316" s="69"/>
      <c r="AG316" s="69"/>
      <c r="AH316" s="69"/>
    </row>
    <row r="317" spans="29:34" ht="12.75">
      <c r="AC317" s="69"/>
      <c r="AD317" s="69"/>
      <c r="AE317" s="69"/>
      <c r="AF317" s="69"/>
      <c r="AG317" s="69"/>
      <c r="AH317" s="69"/>
    </row>
    <row r="318" spans="29:34" ht="12.75">
      <c r="AC318" s="69"/>
      <c r="AD318" s="69"/>
      <c r="AE318" s="69"/>
      <c r="AF318" s="69"/>
      <c r="AG318" s="69"/>
      <c r="AH318" s="69"/>
    </row>
    <row r="319" spans="29:34" ht="12.75">
      <c r="AC319" s="69"/>
      <c r="AD319" s="69"/>
      <c r="AE319" s="69"/>
      <c r="AF319" s="69"/>
      <c r="AG319" s="69"/>
      <c r="AH319" s="69"/>
    </row>
  </sheetData>
  <sheetProtection sheet="1" objects="1" scenarios="1"/>
  <mergeCells count="13">
    <mergeCell ref="G4:H4"/>
    <mergeCell ref="I4:J4"/>
    <mergeCell ref="C2:D2"/>
    <mergeCell ref="A4:B4"/>
    <mergeCell ref="C4:D4"/>
    <mergeCell ref="E4:F4"/>
    <mergeCell ref="W4:X4"/>
    <mergeCell ref="O4:P4"/>
    <mergeCell ref="K4:L4"/>
    <mergeCell ref="M4:N4"/>
    <mergeCell ref="Q4:R4"/>
    <mergeCell ref="S4:T4"/>
    <mergeCell ref="U4:V4"/>
  </mergeCells>
  <conditionalFormatting sqref="Y31:Y35 AD24:AD34 W5 Y5:Y28 AG31:AG35 AA31:AA35 AG5:AG28 AD5:AD16 AA5:AA28 E5 Q35">
    <cfRule type="expression" priority="1" dxfId="50" stopIfTrue="1">
      <formula>WEEKDAY(E5)=1</formula>
    </cfRule>
  </conditionalFormatting>
  <conditionalFormatting sqref="AE20:AE34 K35:L35 AC5:AC35 D33 R35 AB31:AB35 AB5:AB28 AH31:AH35 AH5:AH28 AF5:AF34 AE5:AE16 T7 Z5:Z28 Z31:Z35">
    <cfRule type="expression" priority="2" dxfId="50" stopIfTrue="1">
      <formula>WEEKDAY(C5)=1</formula>
    </cfRule>
  </conditionalFormatting>
  <conditionalFormatting sqref="AE17:AE18">
    <cfRule type="expression" priority="3" dxfId="50" stopIfTrue="1">
      <formula>WEEKDAY(AD17)=OR(1,4)</formula>
    </cfRule>
  </conditionalFormatting>
  <conditionalFormatting sqref="AE19">
    <cfRule type="expression" priority="4" dxfId="50" stopIfTrue="1">
      <formula>WEEKDAY(AD19)=1</formula>
    </cfRule>
  </conditionalFormatting>
  <conditionalFormatting sqref="AD17:AD23">
    <cfRule type="expression" priority="5" dxfId="50" stopIfTrue="1">
      <formula>WEEKDAY(AD17)=1</formula>
    </cfRule>
    <cfRule type="expression" priority="6" dxfId="50" stopIfTrue="1">
      <formula>WEEKDAY(AD17)=4</formula>
    </cfRule>
  </conditionalFormatting>
  <conditionalFormatting sqref="A10">
    <cfRule type="expression" priority="7" dxfId="50" stopIfTrue="1">
      <formula>WEEKDAY(A10)=1</formula>
    </cfRule>
  </conditionalFormatting>
  <conditionalFormatting sqref="B6:B35 D5:D32 V5:V34 H5 F5:F23 T5 N5:N35 L32:L34 R5:R34 X31:X35 T9:T35 P20:P35 P5:P18 X5:X28">
    <cfRule type="expression" priority="8" dxfId="50" stopIfTrue="1">
      <formula>WEEKDAY(A5)=1</formula>
    </cfRule>
    <cfRule type="expression" priority="9" dxfId="1" stopIfTrue="1">
      <formula>WEEKDAY(A5)=7</formula>
    </cfRule>
  </conditionalFormatting>
  <conditionalFormatting sqref="A6:A7">
    <cfRule type="expression" priority="10" dxfId="50" stopIfTrue="1">
      <formula>WOVHENTAG(A6)=1</formula>
    </cfRule>
    <cfRule type="expression" priority="11" dxfId="1" stopIfTrue="1">
      <formula>WEEKDAY(A6)=7</formula>
    </cfRule>
  </conditionalFormatting>
  <conditionalFormatting sqref="A8:A9 A11:A35 C5:C32 U6:U19 K32:K34 W6:W28 E6:E23 Q6:Q34 M6:M35 O20:O35 W31:W35 O6:O17">
    <cfRule type="expression" priority="12" dxfId="50" stopIfTrue="1">
      <formula>WEEKDAY(A5)=1</formula>
    </cfRule>
    <cfRule type="expression" priority="13" dxfId="1" stopIfTrue="1">
      <formula>WEEKDAY(A5)=7</formula>
    </cfRule>
  </conditionalFormatting>
  <conditionalFormatting sqref="C33">
    <cfRule type="expression" priority="14" dxfId="50" stopIfTrue="1">
      <formula>WEEKDAY(C33)=1</formula>
    </cfRule>
    <cfRule type="expression" priority="15" dxfId="1" stopIfTrue="1">
      <formula>WEEKDAY(C33)=1</formula>
    </cfRule>
  </conditionalFormatting>
  <conditionalFormatting sqref="M5 O5 Q5 S5:S6 S8:S34 U27:U34">
    <cfRule type="expression" priority="16" dxfId="50" stopIfTrue="1">
      <formula>WEEKDAY(M5)=1</formula>
    </cfRule>
    <cfRule type="expression" priority="17" dxfId="1" stopIfTrue="1">
      <formula>WEEKDAY(M5)=7</formula>
    </cfRule>
  </conditionalFormatting>
  <conditionalFormatting sqref="U20:U26">
    <cfRule type="expression" priority="18" dxfId="50" stopIfTrue="1">
      <formula>WEEKDAY(U20)=1</formula>
    </cfRule>
    <cfRule type="expression" priority="19" dxfId="10" stopIfTrue="1">
      <formula>WEEKDAY(U20)=4</formula>
    </cfRule>
    <cfRule type="expression" priority="20" dxfId="1" stopIfTrue="1">
      <formula>WEEKDAY(U20)=7</formula>
    </cfRule>
  </conditionalFormatting>
  <conditionalFormatting sqref="T6 T8">
    <cfRule type="expression" priority="21" dxfId="50" stopIfTrue="1">
      <formula>WEEKDAY(S6)=1</formula>
    </cfRule>
    <cfRule type="expression" priority="22" dxfId="1" stopIfTrue="1">
      <formula>WEEKDAY(S6)=7</formula>
    </cfRule>
  </conditionalFormatting>
  <conditionalFormatting sqref="E26:E35 E24 G5:G31">
    <cfRule type="expression" priority="23" dxfId="10" stopIfTrue="1">
      <formula>OR(E5=$E$40,E5=$E$41,E5=$E$42)</formula>
    </cfRule>
    <cfRule type="expression" priority="24" dxfId="50" stopIfTrue="1">
      <formula>WEEKDAY(E5)=1</formula>
    </cfRule>
    <cfRule type="expression" priority="25" dxfId="1" stopIfTrue="1">
      <formula>WEEKDAY(E5)=7</formula>
    </cfRule>
  </conditionalFormatting>
  <conditionalFormatting sqref="F24:F35 H6:H34">
    <cfRule type="expression" priority="26" dxfId="10" stopIfTrue="1">
      <formula>OR(E6=$E$40,E6=$E$41,E6=$E$42)</formula>
    </cfRule>
    <cfRule type="expression" priority="27" dxfId="50" stopIfTrue="1">
      <formula>WEEKDAY(E6)=1</formula>
    </cfRule>
    <cfRule type="expression" priority="28" dxfId="1" stopIfTrue="1">
      <formula>WEEKDAY(E6)=7</formula>
    </cfRule>
  </conditionalFormatting>
  <conditionalFormatting sqref="E25">
    <cfRule type="expression" priority="29" dxfId="10" stopIfTrue="1">
      <formula>OR(E25=$E$40,E25=$E$41,E25=$E$42)</formula>
    </cfRule>
    <cfRule type="expression" priority="30" dxfId="50" stopIfTrue="1">
      <formula>WEEKDAY(E25)=1</formula>
    </cfRule>
    <cfRule type="expression" priority="31" dxfId="1" stopIfTrue="1">
      <formula>WEEKDAY(E25)=7</formula>
    </cfRule>
  </conditionalFormatting>
  <conditionalFormatting sqref="G32:G34">
    <cfRule type="expression" priority="32" dxfId="10" stopIfTrue="1">
      <formula>OR(G32=$E$40,G32=$E$41,G32=$E$42,G32=$E$43)</formula>
    </cfRule>
    <cfRule type="expression" priority="33" dxfId="50" stopIfTrue="1">
      <formula>WEEKDAY(G32)=1</formula>
    </cfRule>
    <cfRule type="expression" priority="34" dxfId="1" stopIfTrue="1">
      <formula>WEEKDAY(G32)=7</formula>
    </cfRule>
  </conditionalFormatting>
  <conditionalFormatting sqref="J6:J10">
    <cfRule type="expression" priority="35" dxfId="10" stopIfTrue="1">
      <formula>$E$43=I6</formula>
    </cfRule>
    <cfRule type="expression" priority="36" dxfId="1" stopIfTrue="1">
      <formula>WEEKDAY(I6)=7</formula>
    </cfRule>
    <cfRule type="expression" priority="37" dxfId="50" stopIfTrue="1">
      <formula>WEEKDAY(I6)=1</formula>
    </cfRule>
  </conditionalFormatting>
  <conditionalFormatting sqref="I6:I14 I17:I19">
    <cfRule type="expression" priority="38" dxfId="10" stopIfTrue="1">
      <formula>$E$43=I6</formula>
    </cfRule>
    <cfRule type="expression" priority="39" dxfId="1" stopIfTrue="1">
      <formula>WEEKDAY(I6)=7</formula>
    </cfRule>
    <cfRule type="expression" priority="40" dxfId="50" stopIfTrue="1">
      <formula>WEEKDAY(I6)=1</formula>
    </cfRule>
  </conditionalFormatting>
  <conditionalFormatting sqref="J11:J14 J17:J19">
    <cfRule type="expression" priority="41" dxfId="10" stopIfTrue="1">
      <formula>OR($E$43=I11,$E$44=I11,$E$45=I11)</formula>
    </cfRule>
    <cfRule type="expression" priority="42" dxfId="1" stopIfTrue="1">
      <formula>WEEKDAY(I11)=7</formula>
    </cfRule>
    <cfRule type="expression" priority="43" dxfId="50" stopIfTrue="1">
      <formula>WEEKDAY(I11)=1</formula>
    </cfRule>
  </conditionalFormatting>
  <conditionalFormatting sqref="J20:J35 L5:L31">
    <cfRule type="expression" priority="44" dxfId="10" stopIfTrue="1">
      <formula>OR($E$43=I5,$E$44=I5,$E$45=I5,$E$46=I5)</formula>
    </cfRule>
    <cfRule type="expression" priority="45" dxfId="1" stopIfTrue="1">
      <formula>WEEKDAY(I5)=7</formula>
    </cfRule>
    <cfRule type="expression" priority="46" dxfId="50" stopIfTrue="1">
      <formula>WEEKDAY(I5)=1</formula>
    </cfRule>
  </conditionalFormatting>
  <conditionalFormatting sqref="I20:I35 K5:K31">
    <cfRule type="expression" priority="47" dxfId="10" stopIfTrue="1">
      <formula>OR($E$43=I5,$E$44=I5,$E$45=I5,$E$46=I5)</formula>
    </cfRule>
    <cfRule type="expression" priority="48" dxfId="1" stopIfTrue="1">
      <formula>WEEKDAY(I5)=7</formula>
    </cfRule>
    <cfRule type="expression" priority="49" dxfId="50" stopIfTrue="1">
      <formula>WEEKDAY(I5)=1</formula>
    </cfRule>
  </conditionalFormatting>
  <conditionalFormatting sqref="O18">
    <cfRule type="expression" priority="50" dxfId="50" stopIfTrue="1">
      <formula>WEEKDAY(O18)=1</formula>
    </cfRule>
    <cfRule type="expression" priority="51" dxfId="1" stopIfTrue="1">
      <formula>WEEKDAY(O18)=7</formula>
    </cfRule>
  </conditionalFormatting>
  <conditionalFormatting sqref="P19">
    <cfRule type="expression" priority="52" dxfId="50" stopIfTrue="1">
      <formula>WEEKDAY(O19)=1</formula>
    </cfRule>
    <cfRule type="expression" priority="53" dxfId="1" stopIfTrue="1">
      <formula>WEEKDAY(O19)=7</formula>
    </cfRule>
  </conditionalFormatting>
  <conditionalFormatting sqref="J15:J16">
    <cfRule type="expression" priority="54" dxfId="10" stopIfTrue="1">
      <formula>OR($E$43=I15,$E$44=I15,$E$45=I15)</formula>
    </cfRule>
    <cfRule type="expression" priority="55" dxfId="1" stopIfTrue="1">
      <formula>WEEKDAY(I15)=7</formula>
    </cfRule>
    <cfRule type="expression" priority="56" dxfId="50" stopIfTrue="1">
      <formula>WEEKDAY(I15)=1</formula>
    </cfRule>
  </conditionalFormatting>
  <conditionalFormatting sqref="I15:I16">
    <cfRule type="expression" priority="57" dxfId="10" stopIfTrue="1">
      <formula>OR($E$43=I15,$E$44=I15,$E$45=I15)</formula>
    </cfRule>
    <cfRule type="expression" priority="58" dxfId="1" stopIfTrue="1">
      <formula>WEEKDAY(I15)=7</formula>
    </cfRule>
    <cfRule type="expression" priority="59" dxfId="50" stopIfTrue="1">
      <formula>WEEKDAY(I15)=1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A1:M59"/>
  <sheetViews>
    <sheetView zoomScalePageLayoutView="0" workbookViewId="0" topLeftCell="A3">
      <selection activeCell="H28" sqref="H28"/>
    </sheetView>
  </sheetViews>
  <sheetFormatPr defaultColWidth="11.421875" defaultRowHeight="12.75"/>
  <cols>
    <col min="1" max="1" width="6.7109375" style="6" customWidth="1"/>
    <col min="2" max="2" width="7.7109375" style="6" customWidth="1"/>
    <col min="3" max="3" width="14.28125" style="6" customWidth="1"/>
    <col min="4" max="9" width="12.7109375" style="6" customWidth="1"/>
    <col min="10" max="10" width="2.140625" style="6" customWidth="1"/>
    <col min="11" max="11" width="14.421875" style="6" customWidth="1"/>
    <col min="12" max="12" width="7.140625" style="6" customWidth="1"/>
    <col min="13" max="13" width="11.57421875" style="6" customWidth="1"/>
    <col min="14" max="16384" width="11.421875" style="6" customWidth="1"/>
  </cols>
  <sheetData>
    <row r="1" spans="1:10" ht="12.75">
      <c r="A1" s="24"/>
      <c r="B1" s="25"/>
      <c r="C1" s="25"/>
      <c r="D1" s="25"/>
      <c r="E1" s="25"/>
      <c r="F1" s="26"/>
      <c r="G1" s="27"/>
      <c r="H1" s="26"/>
      <c r="I1" s="27"/>
      <c r="J1" s="28"/>
    </row>
    <row r="2" spans="1:10" ht="12.75">
      <c r="A2" s="24"/>
      <c r="B2" s="24"/>
      <c r="C2" s="24"/>
      <c r="D2" s="24"/>
      <c r="E2" s="24"/>
      <c r="F2" s="16"/>
      <c r="G2" s="29"/>
      <c r="H2" s="16"/>
      <c r="I2" s="29"/>
      <c r="J2" s="30"/>
    </row>
    <row r="3" spans="1:11" ht="13.5" thickBot="1">
      <c r="A3" s="24"/>
      <c r="B3" s="24"/>
      <c r="C3" s="24"/>
      <c r="D3" s="24"/>
      <c r="E3" s="29"/>
      <c r="F3" s="16"/>
      <c r="G3" s="29"/>
      <c r="H3" s="16"/>
      <c r="I3" s="29"/>
      <c r="J3" s="30"/>
      <c r="K3" s="2"/>
    </row>
    <row r="4" spans="1:10" ht="18.75">
      <c r="A4" s="24"/>
      <c r="B4" s="21"/>
      <c r="C4" s="53" t="s">
        <v>79</v>
      </c>
      <c r="D4" s="54"/>
      <c r="E4" s="54"/>
      <c r="F4" s="55" t="str">
        <f>Stammdaten!$B$6</f>
        <v>Mustermann, Hans</v>
      </c>
      <c r="G4" s="54"/>
      <c r="H4" s="54"/>
      <c r="I4" s="56">
        <f>gewJahr</f>
        <v>2018</v>
      </c>
      <c r="J4" s="30"/>
    </row>
    <row r="5" spans="1:10" ht="12.75">
      <c r="A5" s="25"/>
      <c r="B5" s="21"/>
      <c r="C5" s="57"/>
      <c r="D5" s="58" t="s">
        <v>66</v>
      </c>
      <c r="E5" s="59" t="s">
        <v>67</v>
      </c>
      <c r="F5" s="59" t="s">
        <v>68</v>
      </c>
      <c r="G5" s="59" t="s">
        <v>69</v>
      </c>
      <c r="H5" s="59" t="s">
        <v>70</v>
      </c>
      <c r="I5" s="60" t="s">
        <v>71</v>
      </c>
      <c r="J5" s="30"/>
    </row>
    <row r="6" spans="1:10" ht="12.75">
      <c r="A6" s="24"/>
      <c r="B6" s="25"/>
      <c r="C6" s="251" t="s">
        <v>80</v>
      </c>
      <c r="D6" s="47">
        <f>(COUNTIF(Jan!C8:C38,2)*Stammdaten!$H$3)+(COUNTIF(Jan!C8:C38,3)*Stammdaten!$H$4)+(COUNTIF(Jan!C8:C38,4)*Stammdaten!$H$5)+(COUNTIF(Jan!C8:C38,5)*Stammdaten!$H$6)+(COUNTIF(Jan!C8:C38,6)*Stammdaten!$H$7)-(IF(Jan!C8=2,Stammdaten!$H$3,IF(Jan!C8=3,Stammdaten!$H$4,IF(Jan!C8=4,Stammdaten!$H$5,IF(Jan!C8=5,Stammdaten!$H$6,IF(Jan!C8=6,Stammdaten!$H$7,0)))))+(IF(Stammdaten!M10="x",IF(Jan!C13=2,Stammdaten!$H$3,IF(Jan!C13=3,Stammdaten!$H$4,IF(Jan!C13=4,Stammdaten!$H$5,IF(Jan!C13=5,Stammdaten!$H$6,IF(Jan!C13=6,Stammdaten!$H$7,0))))),0)))</f>
        <v>166</v>
      </c>
      <c r="E6" s="48">
        <f>(COUNTIF(Feb!C8:C36,2)*Stammdaten!$H$3)+(COUNTIF(Feb!C8:C36,3)*Stammdaten!$H$4)+(COUNTIF(Feb!C8:C36,4)*Stammdaten!$H$5)+(COUNTIF(Feb!C8:C36,5)*Stammdaten!$H$6)+(COUNTIF(Feb!C8:C36,6)*Stammdaten!$H$7)</f>
        <v>150</v>
      </c>
      <c r="F6" s="48">
        <f>(COUNTIF(März!C8:C38,2)*Stammdaten!$H$3)+(COUNTIF(März!C8:C38,3)*Stammdaten!$H$4)+(COUNTIF(März!C8:C38,4)*Stammdaten!$H$5)+(COUNTIF(März!C8:C38,5)*Stammdaten!$H$6)+(COUNTIF(März!C8:C38,6)*Stammdaten!$H$7)-(IF(MONTH(Ostern(gewJahr))=3,Stammdaten!$H$7,0)+IF(AND(MONTH(Ostern(gewJahr))=3,DAY(Ostern(gewJahr))&lt;=30),Stammdaten!$H$3,0))</f>
        <v>163.5</v>
      </c>
      <c r="G6" s="48">
        <f>(COUNTIF(April!C8:C38,2)*Stammdaten!$H$3)+(COUNTIF(April!C8:C38,3)*Stammdaten!$H$4)+(COUNTIF(April!C8:C38,4)*Stammdaten!$H$5)+(COUNTIF(April!C8:C38,5)*Stammdaten!$H$6)+(COUNTIF(April!C8:C38,6)*Stammdaten!$H$7)-(IF(MONTH(Ostern(gewJahr))=4,Stammdaten!$H$7+Stammdaten!$H$3,0)+IF(AND(MONTH(Ostern(gewJahr))=3,DAY(Ostern(gewJahr))&lt;=23),Stammdaten!$H$6,0))</f>
        <v>144.5</v>
      </c>
      <c r="H6" s="48">
        <f>(COUNTIF(Mai!C8:C38,2)*Stammdaten!$H$3)+(COUNTIF(Mai!C8:C38,3)*Stammdaten!$H$4)+(COUNTIF(Mai!C8:C38,4)*Stammdaten!$H$5)+(COUNTIF(Mai!C8:C38,5)*Stammdaten!$H$6)+(COUNTIF(Mai!C8:C38,6)*Stammdaten!$H$7)-(IF(Mai!C8=2,Stammdaten!$H$3,IF(Mai!C8=3,Stammdaten!$H$4,IF(Mai!C8=4,Stammdaten!$H$5,IF(Mai!C8=5,Stammdaten!$H$6,IF(Mai!C8=6,Stammdaten!$H$7,0)))))+IF(AND(MONTH(Ostern(gewJahr))=4,DAY(Ostern(gewJahr))&lt;=22),Stammdaten!$H$6,0)+IF(OR(MONTH(Ostern(gewJahr))=3,AND(MONTH(Ostern(gewJahr))=4,DAY(Ostern(gewJahr))&lt;=11)),Stammdaten!$H$3,0)+IF(AND(Stammdaten!$M$18="x",MONTH(Ostern(gewJahr))=4,DAY(Ostern(gewJahr))=1),Stammdaten!$H$6,0))</f>
        <v>142</v>
      </c>
      <c r="I6" s="49">
        <f>(COUNTIF(Juni!C8:C38,2)*Stammdaten!$H$3)+(COUNTIF(Juni!C8:C38,3)*Stammdaten!$H$4)+(COUNTIF(Juni!C8:C38,4)*Stammdaten!$H$5)+(COUNTIF(Juni!C8:C38,5)*Stammdaten!$H$6)+(COUNTIF(Juni!C8:C38,6)*Stammdaten!$H$7)-(IF(AND(MONTH(Ostern(gewJahr))=4,DAY(Ostern(gewJahr))&gt;=12),Stammdaten!$H$3,0)+IF(AND(Stammdaten!$M$18="x",MONTH(Ostern(gewJahr))=4,DAY(Ostern(gewJahr))&gt;1),Stammdaten!$H$6,0)+IF(AND(MONTH(Ostern(gewJahr))=4,DAY(Ostern(gewJahr))&gt;22),Stammdaten!$H$6,0))</f>
        <v>155.5</v>
      </c>
      <c r="J6" s="33"/>
    </row>
    <row r="7" spans="1:10" ht="12.75">
      <c r="A7" s="24"/>
      <c r="B7" s="24"/>
      <c r="C7" s="248" t="s">
        <v>81</v>
      </c>
      <c r="D7" s="340">
        <f>Jan!$F$40*24</f>
        <v>177.5</v>
      </c>
      <c r="E7" s="340">
        <f>Feb!$F$39*24</f>
        <v>0</v>
      </c>
      <c r="F7" s="340">
        <f>März!$F$39*24</f>
        <v>0</v>
      </c>
      <c r="G7" s="340">
        <f>April!$F$39*24</f>
        <v>0</v>
      </c>
      <c r="H7" s="340">
        <f>Mai!$F$39*24</f>
        <v>0</v>
      </c>
      <c r="I7" s="495">
        <f>Juni!$F$39*24</f>
        <v>0</v>
      </c>
      <c r="J7" s="30"/>
    </row>
    <row r="8" spans="1:10" ht="12.75">
      <c r="A8" s="24"/>
      <c r="B8" s="24"/>
      <c r="C8" s="249" t="s">
        <v>33</v>
      </c>
      <c r="D8" s="341">
        <f aca="true" t="shared" si="0" ref="D8:I8">IF(D7-D6&gt;0,D7-D6,0)</f>
        <v>11.5</v>
      </c>
      <c r="E8" s="341">
        <f t="shared" si="0"/>
        <v>0</v>
      </c>
      <c r="F8" s="341">
        <f>IF(F7&gt;F6,F7-F6,0)</f>
        <v>0</v>
      </c>
      <c r="G8" s="341">
        <f t="shared" si="0"/>
        <v>0</v>
      </c>
      <c r="H8" s="341">
        <f t="shared" si="0"/>
        <v>0</v>
      </c>
      <c r="I8" s="496">
        <f t="shared" si="0"/>
        <v>0</v>
      </c>
      <c r="J8" s="24"/>
    </row>
    <row r="9" spans="1:10" ht="12.75">
      <c r="A9" s="24"/>
      <c r="B9" s="24"/>
      <c r="C9" s="61" t="s">
        <v>151</v>
      </c>
      <c r="D9" s="342"/>
      <c r="E9" s="344"/>
      <c r="F9" s="344"/>
      <c r="G9" s="344"/>
      <c r="H9" s="344"/>
      <c r="I9" s="286"/>
      <c r="J9" s="34"/>
    </row>
    <row r="10" spans="1:10" ht="12.75">
      <c r="A10" s="24"/>
      <c r="B10" s="24"/>
      <c r="C10" s="240" t="s">
        <v>82</v>
      </c>
      <c r="D10" s="345">
        <f>Jan!$I$39</f>
        <v>0</v>
      </c>
      <c r="E10" s="345">
        <f>Feb!$I$39</f>
        <v>0</v>
      </c>
      <c r="F10" s="345">
        <f>März!$I$39</f>
        <v>0</v>
      </c>
      <c r="G10" s="345">
        <f>April!$I$39</f>
        <v>0</v>
      </c>
      <c r="H10" s="345">
        <f>Mai!$I$39</f>
        <v>0</v>
      </c>
      <c r="I10" s="346">
        <f>Juni!$I$39</f>
        <v>0</v>
      </c>
      <c r="J10" s="34"/>
    </row>
    <row r="11" spans="1:10" ht="12.75">
      <c r="A11" s="24"/>
      <c r="B11" s="24"/>
      <c r="C11" s="241" t="s">
        <v>83</v>
      </c>
      <c r="D11" s="343">
        <f>Jan!$F$43</f>
        <v>0.25</v>
      </c>
      <c r="E11" s="338">
        <f>Feb!$F$42</f>
        <v>0</v>
      </c>
      <c r="F11" s="287">
        <f>März!$F$43</f>
        <v>0</v>
      </c>
      <c r="G11" s="287">
        <f>April!$F$43</f>
        <v>0</v>
      </c>
      <c r="H11" s="287">
        <f>Mai!$F$43</f>
        <v>0</v>
      </c>
      <c r="I11" s="288">
        <f>Juni!$F$43</f>
        <v>0</v>
      </c>
      <c r="J11" s="35"/>
    </row>
    <row r="12" spans="1:11" ht="12.75">
      <c r="A12" s="24"/>
      <c r="B12" s="24"/>
      <c r="C12" s="189" t="s">
        <v>84</v>
      </c>
      <c r="D12" s="342">
        <f>Jan!$F$41</f>
        <v>0.2916666666666667</v>
      </c>
      <c r="E12" s="339">
        <f>Feb!$F$40</f>
        <v>0</v>
      </c>
      <c r="F12" s="285">
        <f>März!$F$41</f>
        <v>0</v>
      </c>
      <c r="G12" s="285">
        <f>April!$F$41</f>
        <v>0</v>
      </c>
      <c r="H12" s="285">
        <f>Mai!$F$41</f>
        <v>0</v>
      </c>
      <c r="I12" s="289">
        <f>Juni!$F$41</f>
        <v>0</v>
      </c>
      <c r="J12" s="34"/>
      <c r="K12" s="191"/>
    </row>
    <row r="13" spans="1:10" ht="13.5" thickBot="1">
      <c r="A13" s="24"/>
      <c r="B13" s="24"/>
      <c r="C13" s="247" t="s">
        <v>123</v>
      </c>
      <c r="D13" s="290">
        <f>Jan!$F$42</f>
        <v>0.2916666666666667</v>
      </c>
      <c r="E13" s="290">
        <f>Feb!$F$41</f>
        <v>0</v>
      </c>
      <c r="F13" s="290">
        <f>März!$F$42</f>
        <v>0</v>
      </c>
      <c r="G13" s="290">
        <f>April!$F$42</f>
        <v>0</v>
      </c>
      <c r="H13" s="290">
        <f>Mai!$F$42</f>
        <v>0</v>
      </c>
      <c r="I13" s="291">
        <f>Juni!$F$42</f>
        <v>0</v>
      </c>
      <c r="J13" s="34"/>
    </row>
    <row r="14" spans="1:10" ht="12.75">
      <c r="A14" s="24"/>
      <c r="B14" s="24"/>
      <c r="C14" s="263" t="s">
        <v>91</v>
      </c>
      <c r="D14" s="260">
        <f>Jan!$J$42</f>
        <v>5</v>
      </c>
      <c r="E14" s="264">
        <f>Feb!$J$42</f>
        <v>0</v>
      </c>
      <c r="F14" s="260">
        <f>März!$J$42</f>
        <v>0</v>
      </c>
      <c r="G14" s="264">
        <f>April!$J$43</f>
        <v>0</v>
      </c>
      <c r="H14" s="260">
        <f>Mai!$J$43</f>
        <v>0</v>
      </c>
      <c r="I14" s="265">
        <f>Juni!$J$43</f>
        <v>0</v>
      </c>
      <c r="J14" s="34"/>
    </row>
    <row r="15" spans="1:10" ht="12.75">
      <c r="A15" s="24"/>
      <c r="B15" s="16"/>
      <c r="C15" s="256" t="s">
        <v>177</v>
      </c>
      <c r="D15" s="305">
        <f>Jan!$J$43</f>
        <v>0</v>
      </c>
      <c r="E15" s="305">
        <f>Feb!$J$43</f>
        <v>0</v>
      </c>
      <c r="F15" s="305">
        <f>März!$J$43</f>
        <v>0</v>
      </c>
      <c r="G15" s="305">
        <f>April!$J$44</f>
        <v>0</v>
      </c>
      <c r="H15" s="305">
        <f>Mai!$J$44</f>
        <v>0</v>
      </c>
      <c r="I15" s="306">
        <f>Juni!$J$44</f>
        <v>0</v>
      </c>
      <c r="J15" s="34"/>
    </row>
    <row r="16" spans="1:10" ht="13.5" thickBot="1">
      <c r="A16" s="24"/>
      <c r="B16" s="16"/>
      <c r="C16" s="258" t="s">
        <v>90</v>
      </c>
      <c r="D16" s="261">
        <f>Jan!$J$40</f>
        <v>5</v>
      </c>
      <c r="E16" s="261">
        <f>Feb!$J$40</f>
        <v>0</v>
      </c>
      <c r="F16" s="261">
        <f>März!$J$40</f>
        <v>0</v>
      </c>
      <c r="G16" s="261">
        <f>April!$J$41</f>
        <v>25</v>
      </c>
      <c r="H16" s="262">
        <f>Mai!$J$41</f>
        <v>25</v>
      </c>
      <c r="I16" s="307">
        <f>Juni!$J$41</f>
        <v>25</v>
      </c>
      <c r="J16" s="34"/>
    </row>
    <row r="17" spans="1:10" ht="12.75">
      <c r="A17" s="24"/>
      <c r="B17" s="24"/>
      <c r="C17" s="252"/>
      <c r="D17" s="253" t="s">
        <v>72</v>
      </c>
      <c r="E17" s="254" t="s">
        <v>73</v>
      </c>
      <c r="F17" s="254" t="s">
        <v>74</v>
      </c>
      <c r="G17" s="254" t="s">
        <v>75</v>
      </c>
      <c r="H17" s="254" t="s">
        <v>76</v>
      </c>
      <c r="I17" s="255" t="s">
        <v>77</v>
      </c>
      <c r="J17" s="34"/>
    </row>
    <row r="18" spans="1:11" ht="12.75">
      <c r="A18" s="24"/>
      <c r="B18" s="24"/>
      <c r="C18" s="250" t="s">
        <v>80</v>
      </c>
      <c r="D18" s="50">
        <f>(COUNTIF(Juli!C8:C38,2)*Stammdaten!$H$3)+(COUNTIF(Juli!C8:C38,3)*Stammdaten!$H$4)+(COUNTIF(Juli!C8:C38,4)*Stammdaten!$H$5)+(COUNTIF(Juli!C8:C38,5)*Stammdaten!$H$6)+(COUNTIF(Juli!C8:C38,6)*Stammdaten!$H$7)</f>
        <v>166</v>
      </c>
      <c r="E18" s="51">
        <f>(COUNTIF(Aug!C8:C38,2)*Stammdaten!$H$3)+(COUNTIF(Aug!C8:C38,3)*Stammdaten!$H$4)+(COUNTIF(Aug!C8:C38,4)*Stammdaten!$H$5)+(COUNTIF(Aug!C8:C38,5)*Stammdaten!$H$6)+(COUNTIF(Aug!C8:C38,6)*Stammdaten!$H$7)-(IF(Stammdaten!$M$19="x",(IF(Aug!C22=2,Stammdaten!$H$3,IF(Aug!C22=3,Stammdaten!$H$4,IF(Aug!C22=4,Stammdaten!$H$5,IF(Aug!C22=5,Stammdaten!$H$6,IF(Aug!C22=6,Stammdaten!$H$7,0))))))))</f>
        <v>171.5</v>
      </c>
      <c r="F18" s="51">
        <f>(COUNTIF(Sep!C8:C38,2)*Stammdaten!$H$3)+(COUNTIF(Sep!C8:C38,3)*Stammdaten!$H$4)+(COUNTIF(Sep!C8:C38,4)*Stammdaten!$H$5)+(COUNTIF(Sep!C8:C38,5)*Stammdaten!$H$6)+(COUNTIF(Sep!C8:C38,6)*Stammdaten!$H$7)</f>
        <v>150</v>
      </c>
      <c r="G18" s="51">
        <f>(COUNTIF(Okt!C8:C38,2)*Stammdaten!$H$3)+(COUNTIF(Okt!C8:C38,3)*Stammdaten!$H$4)+(COUNTIF(Okt!C8:C38,4)*Stammdaten!$H$5)+(COUNTIF(Okt!C8:C38,5)*Stammdaten!$H$6)+(COUNTIF(Okt!C8:C38,6)*Stammdaten!$H$7)-(IF(Okt!C10=2,Stammdaten!$H$3,IF(Okt!C10=3,Stammdaten!$H$4,IF(Okt!C10=4,Stammdaten!$H$5,IF(Okt!C10=5,Stammdaten!$H$6,IF(Okt!C10=6,Stammdaten!$H$7,0)))))+IF(Stammdaten!$M$21="x",IF(Okt!C38=2,Stammdaten!$H$3,IF(Okt!C38=3,Stammdaten!$H$4,IF(Okt!C38=4,Stammdaten!$H$5,IF(Okt!C38=5,Stammdaten!$H$6,IF(Okt!C38=6,Stammdaten!$H$7,0)))))))</f>
        <v>166</v>
      </c>
      <c r="H18" s="51">
        <f>(COUNTIF(Nov!C8:C38,2)*Stammdaten!$H$3)+(COUNTIF(Nov!C8:C38,3)*Stammdaten!$H$4)+(COUNTIF(Nov!C8:C38,4)*Stammdaten!$H$5)+(COUNTIF(Nov!C8:C38,5)*Stammdaten!$H$6)+(COUNTIF(Nov!C8:C38,6)*Stammdaten!$H$7)-(IF(Stammdaten!$M$23="x",Stammdaten!$H$5,0)+IF(Stammdaten!$M$22="x",IF(Nov!C8=2,Stammdaten!$H$3,IF(Nov!C8=3,Stammdaten!$H$4,IF(Nov!C8=4,Stammdaten!$H$5,IF(Nov!C8=5,Stammdaten!$H$6,IF(Nov!C8=6,Stammdaten!$H$7,0)))))))</f>
        <v>163.5</v>
      </c>
      <c r="I18" s="52">
        <f>(COUNTIF(Dez!C8:C38,2)*Stammdaten!$H$3)+(COUNTIF(Dez!C8:C38,3)*Stammdaten!$H$4)+(COUNTIF(Dez!C8:C38,4)*Stammdaten!$H$5)+(COUNTIF(Dez!C8:C38,5)*Stammdaten!$H$6)+(COUNTIF(Dez!C8:C38,6)*Stammdaten!$H$7)-IF(Dez!C32=2,Stammdaten!$H$3+Stammdaten!$H$4,IF(Dez!C32=3,Stammdaten!$H$4+Stammdaten!$H$5,IF(Dez!C32=4,Stammdaten!$H$5+Stammdaten!$H$6,IF(Dez!C32=5,Stammdaten!$H$6+Stammdaten!$H$7,IF(Dez!C32=6,Stammdaten!$H$7,IF(Dez!C32=1,Stammdaten!$H$3,0))))))</f>
        <v>142</v>
      </c>
      <c r="J18" s="34"/>
      <c r="K18" s="190"/>
    </row>
    <row r="19" spans="1:10" ht="12.75">
      <c r="A19" s="24"/>
      <c r="B19" s="24"/>
      <c r="C19" s="308" t="s">
        <v>81</v>
      </c>
      <c r="D19" s="340">
        <f>Juli!$F$39*24</f>
        <v>0</v>
      </c>
      <c r="E19" s="340">
        <f>Aug!$F$39*24</f>
        <v>0</v>
      </c>
      <c r="F19" s="340">
        <f>Sep!$F$39*24</f>
        <v>0</v>
      </c>
      <c r="G19" s="340">
        <f>Okt!$F$39*24</f>
        <v>0</v>
      </c>
      <c r="H19" s="340">
        <f>Nov!$F$39*24</f>
        <v>0</v>
      </c>
      <c r="I19" s="495">
        <f>Dez!$F$39*24</f>
        <v>0</v>
      </c>
      <c r="J19" s="34"/>
    </row>
    <row r="20" spans="1:10" ht="12.75">
      <c r="A20" s="25"/>
      <c r="B20" s="24"/>
      <c r="C20" s="309" t="s">
        <v>33</v>
      </c>
      <c r="D20" s="497">
        <f aca="true" t="shared" si="1" ref="D20:I20">IF(D19-D18&gt;0,D19-D18,0)</f>
        <v>0</v>
      </c>
      <c r="E20" s="498">
        <f t="shared" si="1"/>
        <v>0</v>
      </c>
      <c r="F20" s="498">
        <f t="shared" si="1"/>
        <v>0</v>
      </c>
      <c r="G20" s="498">
        <f t="shared" si="1"/>
        <v>0</v>
      </c>
      <c r="H20" s="498">
        <f t="shared" si="1"/>
        <v>0</v>
      </c>
      <c r="I20" s="499">
        <f t="shared" si="1"/>
        <v>0</v>
      </c>
      <c r="J20" s="35"/>
    </row>
    <row r="21" spans="1:10" ht="12.75">
      <c r="A21" s="25"/>
      <c r="B21" s="25"/>
      <c r="C21" s="310" t="s">
        <v>151</v>
      </c>
      <c r="D21" s="347"/>
      <c r="E21" s="344"/>
      <c r="F21" s="344"/>
      <c r="G21" s="344"/>
      <c r="H21" s="344"/>
      <c r="I21" s="286"/>
      <c r="J21" s="36"/>
    </row>
    <row r="22" spans="1:10" ht="12.75">
      <c r="A22" s="24"/>
      <c r="B22" s="25"/>
      <c r="C22" s="245" t="s">
        <v>82</v>
      </c>
      <c r="D22" s="345">
        <f>Juli!$I$39</f>
        <v>0</v>
      </c>
      <c r="E22" s="345">
        <f>Aug!$I$39</f>
        <v>0</v>
      </c>
      <c r="F22" s="345">
        <f>Sep!$I$39</f>
        <v>0</v>
      </c>
      <c r="G22" s="345">
        <f>Okt!$I$39</f>
        <v>0</v>
      </c>
      <c r="H22" s="345">
        <f>Nov!$I$39</f>
        <v>0</v>
      </c>
      <c r="I22" s="346">
        <f>Dez!$I$39</f>
        <v>0</v>
      </c>
      <c r="J22" s="36"/>
    </row>
    <row r="23" spans="1:10" ht="12.75">
      <c r="A23" s="24"/>
      <c r="B23" s="37"/>
      <c r="C23" s="241" t="s">
        <v>83</v>
      </c>
      <c r="D23" s="287">
        <f>Juli!$F$43</f>
        <v>0</v>
      </c>
      <c r="E23" s="287">
        <f>Aug!$F$43</f>
        <v>0</v>
      </c>
      <c r="F23" s="287">
        <f>Sep!$F$43</f>
        <v>0</v>
      </c>
      <c r="G23" s="287">
        <f>Okt!$F$43</f>
        <v>0</v>
      </c>
      <c r="H23" s="287">
        <f>Nov!$F$43</f>
        <v>0</v>
      </c>
      <c r="I23" s="288">
        <f>Dez!$F$43</f>
        <v>0</v>
      </c>
      <c r="J23" s="35"/>
    </row>
    <row r="24" spans="1:10" ht="12.75">
      <c r="A24" s="24"/>
      <c r="B24" s="37"/>
      <c r="C24" s="189" t="s">
        <v>84</v>
      </c>
      <c r="D24" s="285">
        <f>Juli!$F$41</f>
        <v>0.2916666666666667</v>
      </c>
      <c r="E24" s="285">
        <f>Aug!$F$41</f>
        <v>0</v>
      </c>
      <c r="F24" s="285">
        <f>Sep!$F$41</f>
        <v>0</v>
      </c>
      <c r="G24" s="285">
        <f>Okt!$F$41</f>
        <v>0</v>
      </c>
      <c r="H24" s="285">
        <f>Nov!$F$41</f>
        <v>0</v>
      </c>
      <c r="I24" s="289">
        <f>Dez!$F$41</f>
        <v>0</v>
      </c>
      <c r="J24" s="35"/>
    </row>
    <row r="25" spans="1:12" ht="13.5" thickBot="1">
      <c r="A25" s="24"/>
      <c r="B25" s="37"/>
      <c r="C25" s="246" t="s">
        <v>123</v>
      </c>
      <c r="D25" s="290">
        <f>Juli!$F$42</f>
        <v>0</v>
      </c>
      <c r="E25" s="290">
        <f>Aug!$F$42</f>
        <v>0</v>
      </c>
      <c r="F25" s="290">
        <f>Sep!$F$42</f>
        <v>0</v>
      </c>
      <c r="G25" s="290">
        <f>Okt!$F$42</f>
        <v>0</v>
      </c>
      <c r="H25" s="290">
        <f>Nov!$F$42</f>
        <v>0</v>
      </c>
      <c r="I25" s="291">
        <f>Dez!$F$42</f>
        <v>0</v>
      </c>
      <c r="J25" s="35"/>
      <c r="K25" s="292" t="s">
        <v>178</v>
      </c>
      <c r="L25" s="293"/>
    </row>
    <row r="26" spans="1:12" ht="12.75">
      <c r="A26" s="24"/>
      <c r="B26" s="37"/>
      <c r="C26" s="257" t="s">
        <v>91</v>
      </c>
      <c r="D26" s="311">
        <f>Juli!$J$43</f>
        <v>0</v>
      </c>
      <c r="E26" s="311">
        <f>Aug!$J$43</f>
        <v>0</v>
      </c>
      <c r="F26" s="311">
        <f>Sep!$J$43</f>
        <v>0</v>
      </c>
      <c r="G26" s="311">
        <f>Okt!$J$43</f>
        <v>0</v>
      </c>
      <c r="H26" s="311">
        <f>Nov!$J$43</f>
        <v>0</v>
      </c>
      <c r="I26" s="312">
        <f>Dez!$J$43</f>
        <v>0</v>
      </c>
      <c r="J26" s="35"/>
      <c r="K26" s="294" t="s">
        <v>91</v>
      </c>
      <c r="L26" s="295">
        <f>SUM(D14:I14)+SUM(D26:I26)</f>
        <v>5</v>
      </c>
    </row>
    <row r="27" spans="1:12" ht="12.75">
      <c r="A27" s="24"/>
      <c r="B27" s="37"/>
      <c r="C27" s="256" t="s">
        <v>177</v>
      </c>
      <c r="D27" s="305">
        <f>Juli!$J$44</f>
        <v>0</v>
      </c>
      <c r="E27" s="305">
        <f>Aug!$J$44</f>
        <v>0</v>
      </c>
      <c r="F27" s="305">
        <f>Sep!$J$44</f>
        <v>0</v>
      </c>
      <c r="G27" s="305">
        <f>Okt!$J$44</f>
        <v>0</v>
      </c>
      <c r="H27" s="305">
        <f>Nov!$J$44</f>
        <v>0</v>
      </c>
      <c r="I27" s="313">
        <f>Dez!$J$44</f>
        <v>0</v>
      </c>
      <c r="J27" s="35"/>
      <c r="K27" s="296" t="s">
        <v>177</v>
      </c>
      <c r="L27" s="295">
        <f>SUM(D15:I15)+SUM(D27:I27)</f>
        <v>0</v>
      </c>
    </row>
    <row r="28" spans="1:12" ht="13.5" thickBot="1">
      <c r="A28" s="24"/>
      <c r="B28" s="37"/>
      <c r="C28" s="259" t="s">
        <v>90</v>
      </c>
      <c r="D28" s="262">
        <f>Juli!$J$41</f>
        <v>25</v>
      </c>
      <c r="E28" s="262">
        <f>Aug!$J$41</f>
        <v>25</v>
      </c>
      <c r="F28" s="262">
        <f>Sep!$J$41</f>
        <v>25</v>
      </c>
      <c r="G28" s="262">
        <f>Okt!$J$41</f>
        <v>25</v>
      </c>
      <c r="H28" s="262">
        <f>Nov!$J$41</f>
        <v>25</v>
      </c>
      <c r="I28" s="314">
        <f>Dez!$J$41</f>
        <v>25</v>
      </c>
      <c r="J28" s="35"/>
      <c r="K28" s="297" t="s">
        <v>90</v>
      </c>
      <c r="L28" s="298">
        <f>SUM(D16:I16)+SUM(D28:I28)</f>
        <v>230</v>
      </c>
    </row>
    <row r="29" spans="1:10" ht="12.75">
      <c r="A29" s="24"/>
      <c r="B29" s="37"/>
      <c r="C29" s="37"/>
      <c r="D29" s="37"/>
      <c r="E29" s="37"/>
      <c r="F29" s="37"/>
      <c r="G29" s="31"/>
      <c r="H29" s="22"/>
      <c r="I29" s="32"/>
      <c r="J29" s="35"/>
    </row>
    <row r="30" spans="1:10" ht="37.5" customHeight="1">
      <c r="A30" s="24"/>
      <c r="B30" s="37"/>
      <c r="C30" s="173" t="s">
        <v>110</v>
      </c>
      <c r="D30" s="174" t="s">
        <v>111</v>
      </c>
      <c r="E30" s="473" t="s">
        <v>112</v>
      </c>
      <c r="F30" s="37"/>
      <c r="G30" s="31"/>
      <c r="H30" s="22"/>
      <c r="I30" s="32"/>
      <c r="J30" s="35"/>
    </row>
    <row r="31" spans="1:10" ht="12.75">
      <c r="A31" s="24"/>
      <c r="B31" s="37"/>
      <c r="C31" s="171" t="s">
        <v>97</v>
      </c>
      <c r="D31" s="172" t="s">
        <v>98</v>
      </c>
      <c r="E31" s="172" t="s">
        <v>99</v>
      </c>
      <c r="F31" s="37"/>
      <c r="G31" s="31"/>
      <c r="H31" s="22"/>
      <c r="I31" s="32"/>
      <c r="J31" s="35"/>
    </row>
    <row r="32" spans="1:10" ht="18">
      <c r="A32" s="25"/>
      <c r="B32" s="37"/>
      <c r="C32" s="171" t="s">
        <v>100</v>
      </c>
      <c r="D32" s="172" t="s">
        <v>101</v>
      </c>
      <c r="E32" s="172" t="s">
        <v>102</v>
      </c>
      <c r="F32" s="37"/>
      <c r="G32" s="31"/>
      <c r="H32" s="22"/>
      <c r="I32" s="32"/>
      <c r="J32" s="35"/>
    </row>
    <row r="33" spans="1:10" ht="12.75">
      <c r="A33" s="25"/>
      <c r="B33" s="25"/>
      <c r="C33" s="171" t="s">
        <v>40</v>
      </c>
      <c r="D33" s="172" t="s">
        <v>103</v>
      </c>
      <c r="E33" s="172" t="s">
        <v>104</v>
      </c>
      <c r="F33" s="26"/>
      <c r="G33" s="27"/>
      <c r="H33" s="26"/>
      <c r="I33" s="27"/>
      <c r="J33" s="36"/>
    </row>
    <row r="34" spans="1:13" ht="12.75">
      <c r="A34" s="24"/>
      <c r="B34" s="25"/>
      <c r="C34" s="171" t="s">
        <v>41</v>
      </c>
      <c r="D34" s="172" t="s">
        <v>105</v>
      </c>
      <c r="E34" s="172" t="s">
        <v>106</v>
      </c>
      <c r="F34" s="26"/>
      <c r="G34" s="27"/>
      <c r="H34" s="26"/>
      <c r="I34" s="27"/>
      <c r="J34" s="28"/>
      <c r="M34" s="493"/>
    </row>
    <row r="35" spans="1:13" ht="12.75">
      <c r="A35" s="25"/>
      <c r="B35" s="24"/>
      <c r="C35" s="171" t="s">
        <v>107</v>
      </c>
      <c r="D35" s="172" t="s">
        <v>108</v>
      </c>
      <c r="E35" s="172" t="s">
        <v>109</v>
      </c>
      <c r="F35" s="16"/>
      <c r="G35" s="29"/>
      <c r="H35" s="16"/>
      <c r="I35" s="29"/>
      <c r="J35" s="38"/>
      <c r="M35" s="494"/>
    </row>
    <row r="36" spans="1:13" ht="12.75">
      <c r="A36" s="24"/>
      <c r="B36" s="25"/>
      <c r="C36" s="25"/>
      <c r="D36" s="25"/>
      <c r="E36" s="25"/>
      <c r="F36" s="26"/>
      <c r="G36" s="27"/>
      <c r="H36" s="26"/>
      <c r="I36" s="27"/>
      <c r="J36" s="25"/>
      <c r="M36" s="493"/>
    </row>
    <row r="37" spans="1:10" ht="12.75">
      <c r="A37" s="24"/>
      <c r="B37" s="24"/>
      <c r="C37" s="16"/>
      <c r="D37" s="16"/>
      <c r="E37" s="16"/>
      <c r="F37" s="16"/>
      <c r="G37" s="29"/>
      <c r="H37" s="29"/>
      <c r="I37" s="29"/>
      <c r="J37" s="16"/>
    </row>
    <row r="38" spans="1:10" ht="12.75">
      <c r="A38" s="24"/>
      <c r="B38" s="24"/>
      <c r="C38" s="17"/>
      <c r="D38" s="17"/>
      <c r="E38" s="17"/>
      <c r="F38" s="18"/>
      <c r="G38" s="29"/>
      <c r="H38" s="16"/>
      <c r="I38" s="29"/>
      <c r="J38" s="24"/>
    </row>
    <row r="39" spans="1:10" ht="12.75">
      <c r="A39" s="24"/>
      <c r="B39" s="24"/>
      <c r="C39" s="17"/>
      <c r="D39" s="17"/>
      <c r="E39" s="17"/>
      <c r="F39" s="18"/>
      <c r="G39" s="29"/>
      <c r="H39" s="19"/>
      <c r="I39" s="39"/>
      <c r="J39" s="19"/>
    </row>
    <row r="40" spans="1:10" ht="12.75">
      <c r="A40" s="24"/>
      <c r="B40" s="24"/>
      <c r="C40" s="17"/>
      <c r="D40" s="17"/>
      <c r="E40" s="17"/>
      <c r="F40" s="23"/>
      <c r="G40" s="29"/>
      <c r="H40" s="16"/>
      <c r="I40" s="29"/>
      <c r="J40" s="24"/>
    </row>
    <row r="41" spans="1:10" ht="12.75">
      <c r="A41" s="24"/>
      <c r="B41" s="24"/>
      <c r="C41" s="24"/>
      <c r="D41" s="24"/>
      <c r="E41" s="24"/>
      <c r="F41" s="16"/>
      <c r="G41" s="29"/>
      <c r="H41" s="16"/>
      <c r="I41" s="29"/>
      <c r="J41" s="24"/>
    </row>
    <row r="42" spans="1:10" ht="12.75">
      <c r="A42" s="24"/>
      <c r="B42" s="24"/>
      <c r="C42" s="24"/>
      <c r="D42" s="24"/>
      <c r="E42" s="24"/>
      <c r="F42" s="16"/>
      <c r="G42" s="29"/>
      <c r="H42" s="16"/>
      <c r="I42" s="29"/>
      <c r="J42" s="24"/>
    </row>
    <row r="43" spans="1:10" ht="12.75">
      <c r="A43" s="24"/>
      <c r="B43" s="24"/>
      <c r="C43" s="24"/>
      <c r="D43" s="24"/>
      <c r="E43" s="24"/>
      <c r="F43" s="16"/>
      <c r="G43" s="29"/>
      <c r="H43" s="16"/>
      <c r="I43" s="29"/>
      <c r="J43" s="24"/>
    </row>
    <row r="44" spans="1:10" ht="12.75">
      <c r="A44" s="24"/>
      <c r="B44" s="24"/>
      <c r="C44" s="40"/>
      <c r="D44" s="24"/>
      <c r="E44" s="24"/>
      <c r="F44" s="16"/>
      <c r="G44" s="29"/>
      <c r="H44" s="16"/>
      <c r="I44" s="29"/>
      <c r="J44" s="24"/>
    </row>
    <row r="45" spans="1:10" ht="12.75">
      <c r="A45" s="24"/>
      <c r="B45" s="24"/>
      <c r="C45" s="40"/>
      <c r="D45" s="24"/>
      <c r="E45" s="24"/>
      <c r="F45" s="16"/>
      <c r="G45" s="29"/>
      <c r="H45" s="16"/>
      <c r="I45" s="29"/>
      <c r="J45" s="24"/>
    </row>
    <row r="46" spans="1:10" ht="12.75">
      <c r="A46" s="24"/>
      <c r="B46" s="24"/>
      <c r="C46" s="40"/>
      <c r="D46" s="24"/>
      <c r="E46" s="24"/>
      <c r="F46" s="16"/>
      <c r="G46" s="29"/>
      <c r="H46" s="16"/>
      <c r="I46" s="29"/>
      <c r="J46" s="24"/>
    </row>
    <row r="47" spans="1:10" ht="12.75">
      <c r="A47" s="24"/>
      <c r="B47" s="24"/>
      <c r="C47" s="40"/>
      <c r="D47" s="24"/>
      <c r="E47" s="24"/>
      <c r="F47" s="16"/>
      <c r="G47" s="29"/>
      <c r="H47" s="16"/>
      <c r="I47" s="29"/>
      <c r="J47" s="24"/>
    </row>
    <row r="48" spans="1:10" ht="12.75">
      <c r="A48" s="24"/>
      <c r="B48" s="24"/>
      <c r="C48" s="40"/>
      <c r="D48" s="24"/>
      <c r="E48" s="24"/>
      <c r="F48" s="16"/>
      <c r="G48" s="29"/>
      <c r="H48" s="16"/>
      <c r="I48" s="29"/>
      <c r="J48" s="24"/>
    </row>
    <row r="49" spans="1:10" ht="12.75">
      <c r="A49" s="24"/>
      <c r="B49" s="24"/>
      <c r="C49" s="40"/>
      <c r="D49" s="24"/>
      <c r="E49" s="24"/>
      <c r="F49" s="16"/>
      <c r="G49" s="29"/>
      <c r="H49" s="16"/>
      <c r="I49" s="29"/>
      <c r="J49" s="24"/>
    </row>
    <row r="50" spans="1:10" ht="12.75">
      <c r="A50" s="24"/>
      <c r="B50" s="24"/>
      <c r="C50" s="40"/>
      <c r="D50" s="24"/>
      <c r="E50" s="24"/>
      <c r="F50" s="16"/>
      <c r="G50" s="29"/>
      <c r="H50" s="16"/>
      <c r="I50" s="29"/>
      <c r="J50" s="24"/>
    </row>
    <row r="51" spans="1:10" ht="12.75">
      <c r="A51" s="24"/>
      <c r="B51" s="24"/>
      <c r="C51" s="40"/>
      <c r="D51" s="24"/>
      <c r="E51" s="24"/>
      <c r="F51" s="16"/>
      <c r="G51" s="29"/>
      <c r="H51" s="16"/>
      <c r="I51" s="29"/>
      <c r="J51" s="29"/>
    </row>
    <row r="52" spans="1:10" ht="12.75">
      <c r="A52" s="24"/>
      <c r="B52" s="24"/>
      <c r="C52" s="24"/>
      <c r="D52" s="20"/>
      <c r="E52" s="41"/>
      <c r="F52" s="16"/>
      <c r="G52" s="29"/>
      <c r="H52" s="16"/>
      <c r="I52" s="29"/>
      <c r="J52" s="24"/>
    </row>
    <row r="53" spans="1:10" ht="12.75">
      <c r="A53" s="24"/>
      <c r="B53" s="24"/>
      <c r="C53" s="24"/>
      <c r="D53" s="42"/>
      <c r="E53" s="41"/>
      <c r="F53" s="16"/>
      <c r="G53" s="29"/>
      <c r="H53" s="41"/>
      <c r="I53" s="29"/>
      <c r="J53" s="24"/>
    </row>
    <row r="54" spans="1:10" ht="12.75">
      <c r="A54" s="24"/>
      <c r="B54" s="24"/>
      <c r="C54" s="24"/>
      <c r="D54" s="24"/>
      <c r="E54" s="24"/>
      <c r="F54" s="16"/>
      <c r="G54" s="29"/>
      <c r="H54" s="16"/>
      <c r="I54" s="29"/>
      <c r="J54" s="24"/>
    </row>
    <row r="55" spans="1:10" ht="12.75">
      <c r="A55" s="24"/>
      <c r="B55" s="24"/>
      <c r="C55" s="24"/>
      <c r="D55" s="24"/>
      <c r="E55" s="24"/>
      <c r="F55" s="16"/>
      <c r="G55" s="29"/>
      <c r="H55" s="16"/>
      <c r="I55" s="29"/>
      <c r="J55" s="24"/>
    </row>
    <row r="56" spans="1:10" ht="12.75">
      <c r="A56" s="24"/>
      <c r="B56" s="24"/>
      <c r="C56" s="24"/>
      <c r="D56" s="24"/>
      <c r="E56" s="24"/>
      <c r="F56" s="16"/>
      <c r="G56" s="29"/>
      <c r="H56" s="16"/>
      <c r="I56" s="29"/>
      <c r="J56" s="24"/>
    </row>
    <row r="57" spans="1:10" ht="12.75">
      <c r="A57" s="24"/>
      <c r="B57" s="24"/>
      <c r="C57" s="24"/>
      <c r="D57" s="24"/>
      <c r="E57" s="24"/>
      <c r="F57" s="16"/>
      <c r="G57" s="29"/>
      <c r="H57" s="16"/>
      <c r="I57" s="29"/>
      <c r="J57" s="24"/>
    </row>
    <row r="58" spans="1:10" ht="12.75">
      <c r="A58" s="24"/>
      <c r="B58" s="24"/>
      <c r="C58" s="24"/>
      <c r="D58" s="24"/>
      <c r="E58" s="24"/>
      <c r="F58" s="16"/>
      <c r="G58" s="29"/>
      <c r="H58" s="16"/>
      <c r="I58" s="29"/>
      <c r="J58" s="24"/>
    </row>
    <row r="59" spans="1:10" ht="12.75">
      <c r="A59" s="24"/>
      <c r="B59" s="24"/>
      <c r="C59" s="24"/>
      <c r="D59" s="24"/>
      <c r="E59" s="24"/>
      <c r="F59" s="16"/>
      <c r="G59" s="29"/>
      <c r="H59" s="16"/>
      <c r="I59" s="29"/>
      <c r="J59" s="24"/>
    </row>
  </sheetData>
  <sheetProtection/>
  <conditionalFormatting sqref="E52">
    <cfRule type="cellIs" priority="1" dxfId="257" operator="equal" stopIfTrue="1">
      <formula>3</formula>
    </cfRule>
    <cfRule type="cellIs" priority="2" dxfId="256" operator="equal" stopIfTrue="1">
      <formula>1</formula>
    </cfRule>
    <cfRule type="cellIs" priority="3" dxfId="255" operator="equal" stopIfTrue="1">
      <formula>2</formula>
    </cfRule>
  </conditionalFormatting>
  <conditionalFormatting sqref="J19">
    <cfRule type="cellIs" priority="4" dxfId="249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B2:O36"/>
  <sheetViews>
    <sheetView zoomScalePageLayoutView="0" workbookViewId="0" topLeftCell="A4">
      <selection activeCell="B32" sqref="B32"/>
    </sheetView>
  </sheetViews>
  <sheetFormatPr defaultColWidth="11.421875" defaultRowHeight="12.75"/>
  <cols>
    <col min="1" max="1" width="2.8515625" style="0" customWidth="1"/>
    <col min="2" max="2" width="18.7109375" style="0" customWidth="1"/>
    <col min="3" max="15" width="9.140625" style="0" customWidth="1"/>
  </cols>
  <sheetData>
    <row r="2" spans="2:15" ht="12.75">
      <c r="B2" s="299" t="s">
        <v>179</v>
      </c>
      <c r="C2" s="300">
        <f>gewJahr</f>
        <v>2018</v>
      </c>
      <c r="D2" s="80" t="str">
        <f>Stammdaten!B6&amp;", "&amp;Stammdaten!B7&amp;", "&amp;Stammdaten!B8</f>
        <v>Mustermann, Hans, Hauptstrasse 23, 10062 Berlin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4" ht="4.5" customHeight="1"/>
    <row r="5" spans="3:15" ht="12.75">
      <c r="C5" s="320" t="s">
        <v>54</v>
      </c>
      <c r="D5" s="303" t="s">
        <v>189</v>
      </c>
      <c r="E5" s="303" t="s">
        <v>190</v>
      </c>
      <c r="F5" s="303" t="s">
        <v>68</v>
      </c>
      <c r="G5" s="303" t="s">
        <v>69</v>
      </c>
      <c r="H5" s="303" t="s">
        <v>191</v>
      </c>
      <c r="I5" s="303" t="s">
        <v>71</v>
      </c>
      <c r="J5" s="303" t="s">
        <v>192</v>
      </c>
      <c r="K5" s="303" t="s">
        <v>193</v>
      </c>
      <c r="L5" s="303" t="s">
        <v>194</v>
      </c>
      <c r="M5" s="303" t="s">
        <v>195</v>
      </c>
      <c r="N5" s="303" t="s">
        <v>196</v>
      </c>
      <c r="O5" s="303" t="s">
        <v>197</v>
      </c>
    </row>
    <row r="6" spans="2:15" ht="12.75">
      <c r="B6" s="337" t="s">
        <v>217</v>
      </c>
      <c r="C6" s="334"/>
      <c r="D6" s="335">
        <v>43276</v>
      </c>
      <c r="E6" s="335"/>
      <c r="F6" s="335" t="s">
        <v>164</v>
      </c>
      <c r="G6" s="335" t="s">
        <v>164</v>
      </c>
      <c r="H6" s="335"/>
      <c r="I6" s="335"/>
      <c r="J6" s="336"/>
      <c r="K6" s="336"/>
      <c r="L6" s="335"/>
      <c r="M6" s="336"/>
      <c r="N6" s="335"/>
      <c r="O6" s="335"/>
    </row>
    <row r="7" spans="2:15" ht="12.75">
      <c r="B7" s="210" t="s">
        <v>213</v>
      </c>
      <c r="C7" s="318">
        <f>SUM(D7:O7)</f>
        <v>4437.5</v>
      </c>
      <c r="D7" s="317">
        <v>4437.5</v>
      </c>
      <c r="E7" s="317"/>
      <c r="F7" s="317"/>
      <c r="G7" s="317"/>
      <c r="H7" s="317"/>
      <c r="I7" s="317"/>
      <c r="J7" s="210"/>
      <c r="K7" s="210"/>
      <c r="L7" s="317"/>
      <c r="M7" s="317"/>
      <c r="N7" s="317"/>
      <c r="O7" s="317"/>
    </row>
    <row r="8" spans="2:15" ht="3" customHeight="1">
      <c r="B8" s="210"/>
      <c r="C8" s="319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</row>
    <row r="9" spans="2:15" ht="11.25" customHeight="1">
      <c r="B9" s="210" t="s">
        <v>206</v>
      </c>
      <c r="C9" s="318">
        <f>SUM(D9:O9)</f>
        <v>0</v>
      </c>
      <c r="D9" s="315">
        <v>0</v>
      </c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</row>
    <row r="10" spans="2:15" ht="3" customHeight="1">
      <c r="B10" s="210"/>
      <c r="C10" s="319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</row>
    <row r="11" spans="2:15" ht="12.75">
      <c r="B11" s="210" t="s">
        <v>207</v>
      </c>
      <c r="C11" s="318">
        <f>SUM(D11:O11)</f>
        <v>199.5</v>
      </c>
      <c r="D11" s="315">
        <v>199.5</v>
      </c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</row>
    <row r="12" spans="2:15" ht="3.75" customHeight="1">
      <c r="B12" s="210"/>
      <c r="C12" s="319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</row>
    <row r="13" spans="2:15" ht="12.75">
      <c r="B13" s="210" t="s">
        <v>198</v>
      </c>
      <c r="C13" s="318">
        <f>SUM(D13:O13)</f>
        <v>834.91</v>
      </c>
      <c r="D13" s="315">
        <v>834.91</v>
      </c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</row>
    <row r="14" spans="2:15" ht="3" customHeight="1">
      <c r="B14" s="210"/>
      <c r="C14" s="319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</row>
    <row r="15" spans="2:15" ht="12.75">
      <c r="B15" s="210" t="s">
        <v>27</v>
      </c>
      <c r="C15" s="318">
        <f>SUM(D15:O15)</f>
        <v>45.91</v>
      </c>
      <c r="D15" s="315">
        <v>45.91</v>
      </c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</row>
    <row r="16" spans="2:15" ht="3.75" customHeight="1">
      <c r="B16" s="210"/>
      <c r="C16" s="319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</row>
    <row r="17" spans="2:15" ht="12.75">
      <c r="B17" s="210" t="s">
        <v>28</v>
      </c>
      <c r="C17" s="318">
        <f>SUM(D17:O17)</f>
        <v>75.14</v>
      </c>
      <c r="D17" s="315">
        <v>75.14</v>
      </c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</row>
    <row r="18" spans="2:15" ht="3.75" customHeight="1">
      <c r="B18" s="210"/>
      <c r="C18" s="319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</row>
    <row r="19" spans="2:15" ht="12.75">
      <c r="B19" s="210" t="s">
        <v>199</v>
      </c>
      <c r="C19" s="318">
        <f>SUM(D19:O19)</f>
        <v>367.28</v>
      </c>
      <c r="D19" s="315">
        <v>367.28</v>
      </c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</row>
    <row r="20" spans="2:15" ht="12.75">
      <c r="B20" s="210" t="s">
        <v>200</v>
      </c>
      <c r="C20" s="318">
        <f>SUM(D20:O20)</f>
        <v>412.69</v>
      </c>
      <c r="D20" s="315">
        <v>412.69</v>
      </c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</row>
    <row r="21" spans="2:15" ht="12.75">
      <c r="B21" s="210" t="s">
        <v>208</v>
      </c>
      <c r="C21" s="318">
        <f>SUM(D21:O21)</f>
        <v>66.56</v>
      </c>
      <c r="D21" s="315">
        <v>66.56</v>
      </c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</row>
    <row r="22" spans="2:15" ht="12.75">
      <c r="B22" s="210" t="s">
        <v>201</v>
      </c>
      <c r="C22" s="318">
        <f>SUM(D22:O22)</f>
        <v>56.42</v>
      </c>
      <c r="D22" s="316">
        <v>56.42</v>
      </c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</row>
    <row r="23" spans="2:15" ht="12.75">
      <c r="B23" s="210"/>
      <c r="C23" s="319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</row>
    <row r="24" spans="2:15" ht="12.75">
      <c r="B24" s="210"/>
      <c r="C24" s="319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</row>
    <row r="25" spans="2:15" ht="12.75">
      <c r="B25" s="210" t="s">
        <v>202</v>
      </c>
      <c r="C25" s="318">
        <f aca="true" t="shared" si="0" ref="C25:C32">SUM(D25:O25)</f>
        <v>323.03</v>
      </c>
      <c r="D25" s="315">
        <v>323.03</v>
      </c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</row>
    <row r="26" spans="2:15" ht="12.75">
      <c r="B26" s="210" t="s">
        <v>203</v>
      </c>
      <c r="C26" s="318">
        <f t="shared" si="0"/>
        <v>412.69</v>
      </c>
      <c r="D26" s="315">
        <v>412.69</v>
      </c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</row>
    <row r="27" spans="2:15" ht="12.75">
      <c r="B27" s="210" t="s">
        <v>205</v>
      </c>
      <c r="C27" s="318">
        <f t="shared" si="0"/>
        <v>66.56</v>
      </c>
      <c r="D27" s="315">
        <v>66.56</v>
      </c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</row>
    <row r="28" spans="2:15" ht="12.75">
      <c r="B28" s="210" t="s">
        <v>204</v>
      </c>
      <c r="C28" s="318">
        <f t="shared" si="0"/>
        <v>56.42</v>
      </c>
      <c r="D28" s="315">
        <v>56.42</v>
      </c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</row>
    <row r="29" spans="2:15" ht="12.75">
      <c r="B29" s="210" t="s">
        <v>209</v>
      </c>
      <c r="C29" s="318">
        <f t="shared" si="0"/>
        <v>146.44</v>
      </c>
      <c r="D29" s="315">
        <v>146.44</v>
      </c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</row>
    <row r="30" spans="2:15" ht="12.75">
      <c r="B30" s="210" t="s">
        <v>253</v>
      </c>
      <c r="C30" s="318">
        <f t="shared" si="0"/>
        <v>14.64</v>
      </c>
      <c r="D30" s="315">
        <v>14.64</v>
      </c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</row>
    <row r="31" spans="2:15" ht="12.75">
      <c r="B31" s="210" t="s">
        <v>210</v>
      </c>
      <c r="C31" s="318">
        <f t="shared" si="0"/>
        <v>27.96</v>
      </c>
      <c r="D31" s="315">
        <v>27.96</v>
      </c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</row>
    <row r="32" spans="2:15" ht="12.75">
      <c r="B32" s="210" t="s">
        <v>319</v>
      </c>
      <c r="C32" s="318">
        <f t="shared" si="0"/>
        <v>2.66</v>
      </c>
      <c r="D32" s="315">
        <v>2.66</v>
      </c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</row>
    <row r="34" spans="2:5" ht="12.75">
      <c r="B34" s="565" t="s">
        <v>300</v>
      </c>
      <c r="C34" s="566"/>
      <c r="D34" s="567">
        <f>Stammdaten!C26</f>
        <v>0</v>
      </c>
      <c r="E34" s="210" t="s">
        <v>22</v>
      </c>
    </row>
    <row r="35" spans="2:12" ht="12.75">
      <c r="B35" s="565" t="s">
        <v>301</v>
      </c>
      <c r="C35" s="566"/>
      <c r="D35" s="567">
        <f>Stammdaten!C27</f>
        <v>0</v>
      </c>
      <c r="E35" s="210" t="s">
        <v>22</v>
      </c>
      <c r="L35" s="333"/>
    </row>
    <row r="36" spans="2:5" ht="12.75">
      <c r="B36" s="210" t="s">
        <v>303</v>
      </c>
      <c r="D36" s="572">
        <f>SUM(Lohnkonto!D9:Lohnkonto!O9)-(Gehaltsabrechnung!G14+Gehaltsabrechnung!G15+Gehaltsabrechnung!G16)</f>
        <v>0</v>
      </c>
      <c r="E36" s="210" t="s">
        <v>22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B1:L58"/>
  <sheetViews>
    <sheetView defaultGridColor="0" zoomScalePageLayoutView="0" colorId="46" workbookViewId="0" topLeftCell="A19">
      <selection activeCell="N34" sqref="N34"/>
    </sheetView>
  </sheetViews>
  <sheetFormatPr defaultColWidth="15.8515625" defaultRowHeight="12.75"/>
  <cols>
    <col min="1" max="1" width="3.8515625" style="359" customWidth="1"/>
    <col min="2" max="2" width="9.7109375" style="359" customWidth="1"/>
    <col min="3" max="3" width="19.00390625" style="359" customWidth="1"/>
    <col min="4" max="4" width="8.140625" style="359" customWidth="1"/>
    <col min="5" max="5" width="11.421875" style="362" customWidth="1"/>
    <col min="6" max="6" width="12.28125" style="359" customWidth="1"/>
    <col min="7" max="7" width="15.57421875" style="363" customWidth="1"/>
    <col min="8" max="8" width="11.00390625" style="359" customWidth="1"/>
    <col min="9" max="9" width="7.57421875" style="359" customWidth="1"/>
    <col min="10" max="16384" width="15.8515625" style="359" customWidth="1"/>
  </cols>
  <sheetData>
    <row r="1" spans="2:8" ht="32.25" customHeight="1">
      <c r="B1" s="642" t="s">
        <v>313</v>
      </c>
      <c r="C1" s="643"/>
      <c r="D1" s="643"/>
      <c r="E1" s="357"/>
      <c r="F1" s="357"/>
      <c r="G1" s="358"/>
      <c r="H1" s="357"/>
    </row>
    <row r="2" spans="2:10" ht="13.5">
      <c r="B2" s="359" t="s">
        <v>163</v>
      </c>
      <c r="C2" s="360" t="s">
        <v>66</v>
      </c>
      <c r="D2" s="361"/>
      <c r="I2" s="304"/>
      <c r="J2" s="364" t="s">
        <v>212</v>
      </c>
    </row>
    <row r="3" spans="2:10" ht="13.5">
      <c r="B3" s="365" t="s">
        <v>124</v>
      </c>
      <c r="C3" s="366" t="str">
        <f>Stammdaten!B6</f>
        <v>Mustermann, Hans</v>
      </c>
      <c r="J3" s="367" t="s">
        <v>184</v>
      </c>
    </row>
    <row r="4" spans="2:7" ht="13.5">
      <c r="B4" s="368" t="s">
        <v>125</v>
      </c>
      <c r="C4" s="369" t="str">
        <f>Stammdaten!B7</f>
        <v>Hauptstrasse 23</v>
      </c>
      <c r="D4" s="370"/>
      <c r="E4" s="477"/>
      <c r="F4" s="478"/>
      <c r="G4" s="478"/>
    </row>
    <row r="5" spans="2:10" ht="13.5">
      <c r="B5" s="368" t="s">
        <v>126</v>
      </c>
      <c r="C5" s="369" t="str">
        <f>Stammdaten!B8</f>
        <v>10062 Berlin</v>
      </c>
      <c r="D5" s="370"/>
      <c r="E5" s="478"/>
      <c r="F5" s="478"/>
      <c r="G5" s="478"/>
      <c r="I5" s="371" t="s">
        <v>188</v>
      </c>
      <c r="J5" s="359" t="s">
        <v>185</v>
      </c>
    </row>
    <row r="6" spans="2:10" ht="12.75">
      <c r="B6" s="372" t="s">
        <v>218</v>
      </c>
      <c r="C6" s="373">
        <f ca="1">TODAY()</f>
        <v>43276</v>
      </c>
      <c r="D6" s="370"/>
      <c r="E6" s="192"/>
      <c r="F6" s="359" t="s">
        <v>180</v>
      </c>
      <c r="G6" s="374">
        <f>Stammdaten!$C$23</f>
        <v>19460</v>
      </c>
      <c r="I6" s="375" t="s">
        <v>188</v>
      </c>
      <c r="J6" s="376" t="s">
        <v>186</v>
      </c>
    </row>
    <row r="7" spans="2:10" ht="12.75">
      <c r="B7" s="368"/>
      <c r="C7" s="377" t="s">
        <v>127</v>
      </c>
      <c r="D7" s="370"/>
      <c r="E7" s="378">
        <f>Stammdaten!$C$15</f>
        <v>0</v>
      </c>
      <c r="F7" s="379" t="s">
        <v>285</v>
      </c>
      <c r="G7" s="380" t="str">
        <f>IF(Stammdaten!$C$20=1,"ja","nein")</f>
        <v>nein</v>
      </c>
      <c r="J7" s="376" t="s">
        <v>187</v>
      </c>
    </row>
    <row r="8" spans="2:10" ht="12.75">
      <c r="B8" s="368"/>
      <c r="C8" s="377" t="s">
        <v>287</v>
      </c>
      <c r="D8" s="370"/>
      <c r="E8" s="381" t="str">
        <f>IF(Stammdaten!$C$21=1,"ja","nein")</f>
        <v>nein</v>
      </c>
      <c r="F8" s="379" t="s">
        <v>286</v>
      </c>
      <c r="G8" s="380" t="str">
        <f>IF(Stammdaten!$C$22=1,"ja","nein")</f>
        <v>nein</v>
      </c>
      <c r="J8" s="376" t="s">
        <v>219</v>
      </c>
    </row>
    <row r="9" spans="2:10" ht="12.75">
      <c r="B9" s="368"/>
      <c r="C9" s="377" t="s">
        <v>128</v>
      </c>
      <c r="D9" s="370"/>
      <c r="E9" s="563">
        <f>Stammdaten!$C$26</f>
        <v>0</v>
      </c>
      <c r="F9" s="382" t="s">
        <v>140</v>
      </c>
      <c r="G9" s="383">
        <v>5</v>
      </c>
      <c r="I9" s="371" t="s">
        <v>188</v>
      </c>
      <c r="J9" s="503" t="s">
        <v>305</v>
      </c>
    </row>
    <row r="10" spans="2:10" ht="12.75">
      <c r="B10" s="368"/>
      <c r="C10" s="377" t="s">
        <v>42</v>
      </c>
      <c r="D10" s="370"/>
      <c r="E10" s="563">
        <f>Stammdaten!$C$27</f>
        <v>0</v>
      </c>
      <c r="F10" s="384" t="s">
        <v>141</v>
      </c>
      <c r="G10" s="385">
        <v>25</v>
      </c>
      <c r="J10" s="503" t="s">
        <v>306</v>
      </c>
    </row>
    <row r="11" spans="2:10" ht="12.75">
      <c r="B11" s="386"/>
      <c r="C11" s="386"/>
      <c r="D11" s="386"/>
      <c r="E11" s="387"/>
      <c r="F11" s="386"/>
      <c r="G11" s="388"/>
      <c r="H11" s="376"/>
      <c r="I11" s="371" t="s">
        <v>188</v>
      </c>
      <c r="J11" s="365" t="s">
        <v>290</v>
      </c>
    </row>
    <row r="12" spans="2:10" ht="12.75">
      <c r="B12" s="389"/>
      <c r="E12" s="489" t="s">
        <v>255</v>
      </c>
      <c r="F12" s="489" t="s">
        <v>254</v>
      </c>
      <c r="G12" s="488"/>
      <c r="H12" s="376"/>
      <c r="J12" s="365" t="s">
        <v>291</v>
      </c>
    </row>
    <row r="13" spans="2:10" ht="12.75">
      <c r="B13" s="390"/>
      <c r="C13" s="472" t="s">
        <v>257</v>
      </c>
      <c r="D13" s="392"/>
      <c r="E13" s="466">
        <v>7.395833333333334</v>
      </c>
      <c r="F13" s="394">
        <f>Stammdaten!$H$17</f>
        <v>25</v>
      </c>
      <c r="G13" s="394">
        <f>$E$13*$F$13*24</f>
        <v>4437.5</v>
      </c>
      <c r="H13" s="376"/>
      <c r="I13" s="371" t="s">
        <v>188</v>
      </c>
      <c r="J13" s="502" t="s">
        <v>292</v>
      </c>
    </row>
    <row r="14" spans="2:10" ht="12.75">
      <c r="B14" s="390"/>
      <c r="C14" s="391" t="s">
        <v>173</v>
      </c>
      <c r="D14" s="393"/>
      <c r="E14" s="393"/>
      <c r="F14" s="376"/>
      <c r="G14" s="354">
        <v>0</v>
      </c>
      <c r="H14" s="376"/>
      <c r="J14" s="365" t="s">
        <v>293</v>
      </c>
    </row>
    <row r="15" spans="2:10" ht="12.75">
      <c r="B15" s="390"/>
      <c r="C15" s="391" t="s">
        <v>174</v>
      </c>
      <c r="D15" s="393"/>
      <c r="E15" s="393"/>
      <c r="F15" s="376"/>
      <c r="G15" s="355">
        <v>0</v>
      </c>
      <c r="H15" s="569"/>
      <c r="I15" s="371" t="s">
        <v>188</v>
      </c>
      <c r="J15" s="365" t="s">
        <v>294</v>
      </c>
    </row>
    <row r="16" spans="2:10" ht="12.75">
      <c r="B16" s="390"/>
      <c r="C16" s="391" t="s">
        <v>175</v>
      </c>
      <c r="D16" s="376"/>
      <c r="E16" s="393"/>
      <c r="F16" s="393"/>
      <c r="G16" s="355">
        <v>0</v>
      </c>
      <c r="H16" s="568"/>
      <c r="J16" s="365" t="s">
        <v>295</v>
      </c>
    </row>
    <row r="17" spans="2:8" ht="12.75">
      <c r="B17" s="390"/>
      <c r="C17" s="395"/>
      <c r="D17" s="396" t="s">
        <v>145</v>
      </c>
      <c r="E17" s="396" t="s">
        <v>146</v>
      </c>
      <c r="F17" s="376"/>
      <c r="G17" s="397"/>
      <c r="H17" s="376"/>
    </row>
    <row r="18" spans="2:12" ht="12.75">
      <c r="B18" s="390"/>
      <c r="C18" s="398" t="str">
        <f>"- "&amp;Stammdaten!$F$23</f>
        <v>- Sonderschicht I</v>
      </c>
      <c r="D18" s="483">
        <v>0</v>
      </c>
      <c r="E18" s="399">
        <f>Stammdaten!$H$24</f>
        <v>0</v>
      </c>
      <c r="F18" s="376"/>
      <c r="G18" s="400">
        <f>D18*E18*24</f>
        <v>0</v>
      </c>
      <c r="H18" s="376"/>
      <c r="J18" s="365"/>
      <c r="L18" s="571"/>
    </row>
    <row r="19" spans="2:12" ht="12.75">
      <c r="B19" s="390"/>
      <c r="C19" s="368" t="str">
        <f>"- "&amp;Stammdaten!$G$24</f>
        <v>- Sonderschicht II</v>
      </c>
      <c r="D19" s="468">
        <v>0</v>
      </c>
      <c r="E19" s="399">
        <f>Stammdaten!$H$23</f>
        <v>0</v>
      </c>
      <c r="F19" s="376"/>
      <c r="G19" s="400">
        <f>D19*E19*24</f>
        <v>0</v>
      </c>
      <c r="H19" s="376"/>
      <c r="I19" s="368"/>
      <c r="J19" s="365"/>
      <c r="L19" s="570"/>
    </row>
    <row r="20" spans="2:9" ht="12.75">
      <c r="B20" s="390"/>
      <c r="C20" s="398" t="str">
        <f>"- "&amp;Stammdaten!$G$21</f>
        <v>- Samstagarbeit</v>
      </c>
      <c r="D20" s="469">
        <v>0.2916666666666667</v>
      </c>
      <c r="E20" s="399">
        <f>Stammdaten!$H$21</f>
        <v>0</v>
      </c>
      <c r="F20" s="376"/>
      <c r="G20" s="400">
        <f>D20*E20*24</f>
        <v>0</v>
      </c>
      <c r="H20" s="376"/>
      <c r="I20" s="368"/>
    </row>
    <row r="21" spans="2:9" ht="12.75">
      <c r="B21" s="390"/>
      <c r="C21" s="398" t="s">
        <v>147</v>
      </c>
      <c r="D21" s="471">
        <v>0</v>
      </c>
      <c r="E21" s="500">
        <v>0</v>
      </c>
      <c r="F21" s="376"/>
      <c r="G21" s="400">
        <f>D21*E21*24</f>
        <v>0</v>
      </c>
      <c r="H21" s="376"/>
      <c r="I21" s="368"/>
    </row>
    <row r="22" spans="2:11" ht="12.75">
      <c r="B22" s="390"/>
      <c r="C22" s="398" t="s">
        <v>302</v>
      </c>
      <c r="D22" s="401"/>
      <c r="E22" s="402"/>
      <c r="F22" s="376"/>
      <c r="G22" s="501">
        <f>D22*E22*24</f>
        <v>0</v>
      </c>
      <c r="H22" s="376"/>
      <c r="I22" s="368"/>
      <c r="J22" s="401"/>
      <c r="K22" s="402"/>
    </row>
    <row r="23" spans="2:8" ht="19.5" customHeight="1">
      <c r="B23" s="390"/>
      <c r="C23" s="401" t="s">
        <v>143</v>
      </c>
      <c r="D23" s="639"/>
      <c r="E23" s="640"/>
      <c r="F23" s="641"/>
      <c r="G23" s="403">
        <f>SUM(G13:G21)</f>
        <v>4437.5</v>
      </c>
      <c r="H23" s="376"/>
    </row>
    <row r="24" spans="2:8" ht="12.75">
      <c r="B24" s="404"/>
      <c r="C24" s="644"/>
      <c r="D24" s="645"/>
      <c r="E24" s="645"/>
      <c r="F24" s="645"/>
      <c r="G24" s="405"/>
      <c r="H24" s="376"/>
    </row>
    <row r="25" spans="2:8" ht="12.75">
      <c r="B25" s="389"/>
      <c r="C25" s="406"/>
      <c r="D25" s="406"/>
      <c r="E25" s="407"/>
      <c r="F25" s="406"/>
      <c r="G25" s="408"/>
      <c r="H25" s="376"/>
    </row>
    <row r="26" spans="2:8" ht="12.75">
      <c r="B26" s="390"/>
      <c r="C26" s="368" t="s">
        <v>288</v>
      </c>
      <c r="D26" s="410">
        <f>Stammdaten!C12</f>
        <v>1</v>
      </c>
      <c r="E26" s="646" t="s">
        <v>297</v>
      </c>
      <c r="F26" s="647"/>
      <c r="G26" s="412">
        <v>834.91</v>
      </c>
      <c r="H26" s="376"/>
    </row>
    <row r="27" spans="2:8" ht="12.75">
      <c r="B27" s="390"/>
      <c r="C27" s="409" t="s">
        <v>28</v>
      </c>
      <c r="D27" s="410">
        <f>Stammdaten!C16</f>
        <v>9</v>
      </c>
      <c r="E27" s="413" t="s">
        <v>129</v>
      </c>
      <c r="F27" s="414"/>
      <c r="G27" s="415">
        <v>75.14</v>
      </c>
      <c r="H27" s="376"/>
    </row>
    <row r="28" spans="2:8" ht="12.75">
      <c r="B28" s="390"/>
      <c r="C28" s="409" t="s">
        <v>27</v>
      </c>
      <c r="D28" s="409"/>
      <c r="E28" s="411"/>
      <c r="F28" s="409"/>
      <c r="G28" s="415">
        <v>45.91</v>
      </c>
      <c r="H28" s="376"/>
    </row>
    <row r="29" spans="2:8" ht="12.75">
      <c r="B29" s="390"/>
      <c r="C29" s="416"/>
      <c r="D29" s="13" t="str">
        <f>IF(Stammdaten!C17&lt;20,Stammdaten!C17/2+Stammdaten!C18&amp;"% Krankenkassenbeitrag","Eigenanteil PKV")</f>
        <v>8,3% Krankenkassenbeitrag</v>
      </c>
      <c r="E29" s="417"/>
      <c r="F29" s="418"/>
      <c r="G29" s="415">
        <v>367.28</v>
      </c>
      <c r="H29" s="376"/>
    </row>
    <row r="30" spans="2:8" ht="12.75">
      <c r="B30" s="390"/>
      <c r="C30" s="409"/>
      <c r="D30" s="368" t="s">
        <v>256</v>
      </c>
      <c r="E30" s="411"/>
      <c r="F30" s="409"/>
      <c r="G30" s="415">
        <v>66.56</v>
      </c>
      <c r="H30" s="376"/>
    </row>
    <row r="31" spans="2:8" ht="12.75">
      <c r="B31" s="390"/>
      <c r="C31" s="409"/>
      <c r="D31" s="368" t="s">
        <v>316</v>
      </c>
      <c r="E31" s="411"/>
      <c r="F31" s="409"/>
      <c r="G31" s="415">
        <v>412.69</v>
      </c>
      <c r="H31" s="376"/>
    </row>
    <row r="32" spans="2:8" ht="12.75">
      <c r="B32" s="390"/>
      <c r="C32" s="409"/>
      <c r="D32" s="409" t="str">
        <f>IF(Stammdaten!C22=1,1.675,1.175)+IF(Stammdaten!C20=1,0.25,0)&amp;"% Pflegeversicherung"</f>
        <v>1,175% Pflegeversicherung</v>
      </c>
      <c r="E32" s="411"/>
      <c r="F32" s="409"/>
      <c r="G32" s="415">
        <v>56.42</v>
      </c>
      <c r="H32" s="376"/>
    </row>
    <row r="33" spans="2:8" ht="12.75">
      <c r="B33" s="390"/>
      <c r="C33" s="419" t="s">
        <v>130</v>
      </c>
      <c r="D33" s="419"/>
      <c r="E33" s="420"/>
      <c r="F33" s="419"/>
      <c r="G33" s="356">
        <v>0</v>
      </c>
      <c r="H33" s="376"/>
    </row>
    <row r="34" spans="2:8" ht="13.5">
      <c r="B34" s="390"/>
      <c r="C34" s="401" t="s">
        <v>131</v>
      </c>
      <c r="D34" s="479"/>
      <c r="E34" s="402"/>
      <c r="F34" s="401"/>
      <c r="G34" s="421">
        <f>SUM(G26:G33)</f>
        <v>1858.9099999999999</v>
      </c>
      <c r="H34" s="376"/>
    </row>
    <row r="35" spans="2:8" ht="12.75">
      <c r="B35" s="404"/>
      <c r="C35" s="419"/>
      <c r="D35" s="419"/>
      <c r="E35" s="420"/>
      <c r="F35" s="419"/>
      <c r="G35" s="405"/>
      <c r="H35" s="376"/>
    </row>
    <row r="36" spans="2:8" ht="12.75">
      <c r="B36" s="389"/>
      <c r="C36" s="422"/>
      <c r="D36" s="422"/>
      <c r="E36" s="423"/>
      <c r="F36" s="422"/>
      <c r="G36" s="408"/>
      <c r="H36" s="376"/>
    </row>
    <row r="37" spans="2:8" ht="12.75">
      <c r="B37" s="390"/>
      <c r="C37" s="395" t="s">
        <v>152</v>
      </c>
      <c r="D37" s="396" t="s">
        <v>145</v>
      </c>
      <c r="E37" s="424" t="s">
        <v>146</v>
      </c>
      <c r="F37" s="395"/>
      <c r="G37" s="425"/>
      <c r="H37" s="376"/>
    </row>
    <row r="38" spans="2:8" ht="12.75">
      <c r="B38" s="390"/>
      <c r="C38" s="368" t="s">
        <v>144</v>
      </c>
      <c r="D38" s="467">
        <v>0</v>
      </c>
      <c r="E38" s="426">
        <f>Stammdaten!$H$22</f>
        <v>2.98</v>
      </c>
      <c r="F38" s="427"/>
      <c r="G38" s="428">
        <f>D38*24*E38</f>
        <v>0</v>
      </c>
      <c r="H38" s="376"/>
    </row>
    <row r="39" spans="2:8" ht="12.75">
      <c r="B39" s="390"/>
      <c r="C39" s="368" t="s">
        <v>122</v>
      </c>
      <c r="D39" s="468">
        <v>0.25</v>
      </c>
      <c r="E39" s="429">
        <f>Stammdaten!$H$20</f>
        <v>0</v>
      </c>
      <c r="F39" s="430"/>
      <c r="G39" s="428">
        <f>D39*24*E39</f>
        <v>0</v>
      </c>
      <c r="H39" s="376"/>
    </row>
    <row r="40" spans="2:8" ht="12.75">
      <c r="B40" s="390"/>
      <c r="C40" s="368" t="s">
        <v>117</v>
      </c>
      <c r="D40" s="469">
        <v>0.2916666666666667</v>
      </c>
      <c r="E40" s="399">
        <f>Stammdaten!$H$19</f>
        <v>28.5</v>
      </c>
      <c r="F40" s="430"/>
      <c r="G40" s="428">
        <f>D40*24*E40</f>
        <v>199.5</v>
      </c>
      <c r="H40" s="376"/>
    </row>
    <row r="41" spans="2:8" ht="12.75">
      <c r="B41" s="390"/>
      <c r="C41" s="431" t="s">
        <v>153</v>
      </c>
      <c r="D41" s="471">
        <v>0</v>
      </c>
      <c r="E41" s="470">
        <v>0</v>
      </c>
      <c r="F41" s="432"/>
      <c r="G41" s="400">
        <f>D41*24*E41</f>
        <v>0</v>
      </c>
      <c r="H41" s="376"/>
    </row>
    <row r="42" spans="2:8" ht="12.75">
      <c r="B42" s="390"/>
      <c r="C42" s="409" t="s">
        <v>132</v>
      </c>
      <c r="D42" s="409"/>
      <c r="E42" s="411"/>
      <c r="F42" s="409"/>
      <c r="G42" s="474">
        <f>SUM(G38:G40)</f>
        <v>199.5</v>
      </c>
      <c r="H42" s="376"/>
    </row>
    <row r="43" spans="2:8" ht="12.75">
      <c r="B43" s="390"/>
      <c r="C43" s="409"/>
      <c r="D43" s="409"/>
      <c r="E43" s="411"/>
      <c r="F43" s="409"/>
      <c r="G43" s="433"/>
      <c r="H43" s="376"/>
    </row>
    <row r="44" spans="2:8" ht="12.75">
      <c r="B44" s="390"/>
      <c r="C44" s="409" t="s">
        <v>133</v>
      </c>
      <c r="D44" s="409"/>
      <c r="E44" s="411"/>
      <c r="F44" s="409"/>
      <c r="G44" s="356">
        <v>0</v>
      </c>
      <c r="H44" s="376"/>
    </row>
    <row r="45" spans="2:8" ht="12.75">
      <c r="B45" s="390"/>
      <c r="C45" s="409" t="s">
        <v>134</v>
      </c>
      <c r="D45" s="409"/>
      <c r="E45" s="411"/>
      <c r="F45" s="409"/>
      <c r="G45" s="356">
        <v>0</v>
      </c>
      <c r="H45" s="376"/>
    </row>
    <row r="46" spans="2:8" ht="12.75">
      <c r="B46" s="390"/>
      <c r="C46" s="368" t="s">
        <v>289</v>
      </c>
      <c r="D46" s="409"/>
      <c r="E46" s="411"/>
      <c r="F46" s="409"/>
      <c r="G46" s="356">
        <v>0</v>
      </c>
      <c r="H46" s="376"/>
    </row>
    <row r="47" spans="2:8" ht="12.75">
      <c r="B47" s="390"/>
      <c r="C47" s="368" t="s">
        <v>296</v>
      </c>
      <c r="D47" s="409"/>
      <c r="E47" s="411"/>
      <c r="F47" s="409"/>
      <c r="G47" s="356">
        <v>0</v>
      </c>
      <c r="H47" s="376"/>
    </row>
    <row r="48" spans="2:8" ht="12.75">
      <c r="B48" s="390"/>
      <c r="C48" s="409"/>
      <c r="D48" s="409"/>
      <c r="E48" s="411"/>
      <c r="F48" s="409"/>
      <c r="G48" s="433"/>
      <c r="H48" s="376"/>
    </row>
    <row r="49" spans="2:8" ht="13.5">
      <c r="B49" s="390"/>
      <c r="C49" s="401" t="s">
        <v>149</v>
      </c>
      <c r="D49" s="401"/>
      <c r="E49" s="402"/>
      <c r="F49" s="401"/>
      <c r="G49" s="475">
        <f>SUM(G42:G47)</f>
        <v>199.5</v>
      </c>
      <c r="H49" s="376"/>
    </row>
    <row r="50" spans="2:8" ht="12.75">
      <c r="B50" s="404"/>
      <c r="C50" s="419"/>
      <c r="D50" s="419"/>
      <c r="E50" s="420"/>
      <c r="F50" s="419"/>
      <c r="G50" s="405"/>
      <c r="H50" s="376"/>
    </row>
    <row r="51" spans="2:8" ht="12.75">
      <c r="B51" s="376"/>
      <c r="C51" s="434"/>
      <c r="D51" s="434"/>
      <c r="E51" s="435"/>
      <c r="F51" s="434"/>
      <c r="G51" s="436"/>
      <c r="H51" s="376"/>
    </row>
    <row r="52" spans="2:8" ht="13.5">
      <c r="B52" s="376"/>
      <c r="C52" s="434" t="s">
        <v>135</v>
      </c>
      <c r="D52" s="434"/>
      <c r="E52" s="435"/>
      <c r="F52" s="434"/>
      <c r="G52" s="476">
        <v>2778.09</v>
      </c>
      <c r="H52" s="376"/>
    </row>
    <row r="53" spans="2:8" ht="12.75">
      <c r="B53" s="5"/>
      <c r="C53" s="5"/>
      <c r="D53" s="5"/>
      <c r="E53" s="5"/>
      <c r="F53" s="5"/>
      <c r="G53" s="5"/>
      <c r="H53" s="5"/>
    </row>
    <row r="54" spans="2:9" ht="12.75">
      <c r="B54" s="437"/>
      <c r="C54" s="438"/>
      <c r="D54" s="438"/>
      <c r="E54" s="438"/>
      <c r="F54" s="439"/>
      <c r="G54" s="440"/>
      <c r="H54" s="365"/>
      <c r="I54" s="4"/>
    </row>
    <row r="55" spans="2:8" s="4" customFormat="1" ht="12.75">
      <c r="B55" s="365"/>
      <c r="C55" s="441"/>
      <c r="H55" s="364"/>
    </row>
    <row r="56" spans="2:9" s="4" customFormat="1" ht="12.75">
      <c r="B56" s="442"/>
      <c r="C56" s="441"/>
      <c r="I56" s="359"/>
    </row>
    <row r="57" spans="2:8" ht="12.75">
      <c r="B57" s="635" t="s">
        <v>148</v>
      </c>
      <c r="C57" s="636"/>
      <c r="D57" s="637" t="s">
        <v>136</v>
      </c>
      <c r="E57" s="638"/>
      <c r="F57" s="638"/>
      <c r="G57" s="638"/>
      <c r="H57" s="365"/>
    </row>
    <row r="58" spans="2:7" ht="11.25" customHeight="1">
      <c r="B58" s="443"/>
      <c r="C58" s="443"/>
      <c r="D58" s="443"/>
      <c r="E58" s="444"/>
      <c r="F58" s="443"/>
      <c r="G58" s="359"/>
    </row>
  </sheetData>
  <sheetProtection/>
  <mergeCells count="6">
    <mergeCell ref="B57:C57"/>
    <mergeCell ref="D57:G57"/>
    <mergeCell ref="D23:F23"/>
    <mergeCell ref="B1:D1"/>
    <mergeCell ref="C24:F24"/>
    <mergeCell ref="E26:F26"/>
  </mergeCells>
  <conditionalFormatting sqref="C23:C29">
    <cfRule type="cellIs" priority="7" dxfId="251" operator="lessThan" stopIfTrue="1">
      <formula>0</formula>
    </cfRule>
    <cfRule type="cellIs" priority="8" dxfId="252" operator="greaterThan" stopIfTrue="1">
      <formula>0</formula>
    </cfRule>
  </conditionalFormatting>
  <conditionalFormatting sqref="C31">
    <cfRule type="cellIs" priority="9" dxfId="251" operator="lessThan" stopIfTrue="1">
      <formula>0</formula>
    </cfRule>
    <cfRule type="cellIs" priority="10" dxfId="250" operator="notEqual" stopIfTrue="1">
      <formula>0</formula>
    </cfRule>
  </conditionalFormatting>
  <conditionalFormatting sqref="H62:L62">
    <cfRule type="cellIs" priority="11" dxfId="249" operator="equal" stopIfTrue="1">
      <formula>0</formula>
    </cfRule>
  </conditionalFormatting>
  <conditionalFormatting sqref="K8:K11 J8">
    <cfRule type="cellIs" priority="12" dxfId="248" operator="equal" stopIfTrue="1">
      <formula>0</formula>
    </cfRule>
  </conditionalFormatting>
  <hyperlinks>
    <hyperlink ref="D57" r:id="rId1" display="http://www.d-l-s.de/html/downloads.html 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1:O60"/>
  <sheetViews>
    <sheetView defaultGridColor="0" zoomScalePageLayoutView="0" colorId="22" workbookViewId="0" topLeftCell="A1">
      <selection activeCell="F41" sqref="F41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3.8515625" style="0" customWidth="1"/>
    <col min="4" max="5" width="7.71093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3"/>
      <c r="L1" s="14"/>
      <c r="M1" s="14"/>
      <c r="N1" s="14"/>
    </row>
    <row r="2" spans="2:14" ht="15">
      <c r="B2" s="446" t="str">
        <f>"Arbeitszeitachweis Januar "&amp;gewJahr</f>
        <v>Arbeitszeitachweis Januar 2018</v>
      </c>
      <c r="C2" s="447"/>
      <c r="D2" s="446"/>
      <c r="E2" s="446"/>
      <c r="F2" s="446"/>
      <c r="G2" s="446"/>
      <c r="H2" s="446"/>
      <c r="I2" s="446"/>
      <c r="J2" s="667" t="s">
        <v>92</v>
      </c>
      <c r="K2" s="13"/>
      <c r="L2" s="63"/>
      <c r="M2" s="14"/>
      <c r="N2" s="14"/>
    </row>
    <row r="3" spans="2:14" ht="13.5" customHeight="1">
      <c r="B3" s="484" t="s">
        <v>124</v>
      </c>
      <c r="C3" s="456" t="str">
        <f>Stammdaten!$B$6</f>
        <v>Mustermann, Hans</v>
      </c>
      <c r="D3" s="449"/>
      <c r="E3" s="449"/>
      <c r="F3" s="450"/>
      <c r="G3" s="450"/>
      <c r="H3" s="445"/>
      <c r="I3" s="451"/>
      <c r="J3" s="643"/>
      <c r="K3" s="14"/>
      <c r="L3" s="13"/>
      <c r="M3" s="13"/>
      <c r="N3" s="13"/>
    </row>
    <row r="4" spans="2:14" ht="0.75" customHeight="1">
      <c r="B4" s="671"/>
      <c r="C4" s="671"/>
      <c r="D4" s="448"/>
      <c r="E4" s="449"/>
      <c r="F4" s="449"/>
      <c r="G4" s="450"/>
      <c r="H4" s="14"/>
      <c r="I4" s="14"/>
      <c r="J4" s="643"/>
      <c r="K4" s="4"/>
      <c r="L4" s="14"/>
      <c r="M4" s="14"/>
      <c r="N4" s="14"/>
    </row>
    <row r="5" spans="2:12" ht="23.25" customHeight="1" hidden="1">
      <c r="B5" s="4"/>
      <c r="C5" s="66">
        <f>IF(Stammdaten!M10="x",1,0)</f>
        <v>1</v>
      </c>
      <c r="D5" s="4"/>
      <c r="E5" s="4"/>
      <c r="F5" s="4"/>
      <c r="H5" s="4"/>
      <c r="I5" s="4"/>
      <c r="J5" s="643"/>
      <c r="K5" s="5"/>
      <c r="L5" s="4"/>
    </row>
    <row r="6" spans="2:14" ht="16.5" customHeight="1">
      <c r="B6" s="80"/>
      <c r="C6" s="43"/>
      <c r="D6" s="43"/>
      <c r="E6" s="43"/>
      <c r="F6" s="43"/>
      <c r="G6" s="43"/>
      <c r="H6" s="43"/>
      <c r="I6" s="43"/>
      <c r="J6" s="668"/>
      <c r="K6" s="78"/>
      <c r="L6" s="5"/>
      <c r="M6" s="5"/>
      <c r="N6" s="5"/>
    </row>
    <row r="7" spans="1:15" s="210" customFormat="1" ht="25.5" customHeight="1">
      <c r="A7" s="207"/>
      <c r="B7" s="648" t="s">
        <v>38</v>
      </c>
      <c r="C7" s="649"/>
      <c r="D7" s="453" t="s">
        <v>247</v>
      </c>
      <c r="E7" s="454" t="s">
        <v>248</v>
      </c>
      <c r="F7" s="455" t="s">
        <v>249</v>
      </c>
      <c r="G7" s="455" t="s">
        <v>250</v>
      </c>
      <c r="H7" s="177" t="s">
        <v>65</v>
      </c>
      <c r="I7" s="178" t="s">
        <v>39</v>
      </c>
      <c r="J7" s="179" t="s">
        <v>89</v>
      </c>
      <c r="K7" s="209"/>
      <c r="L7" s="213"/>
      <c r="M7" s="213"/>
      <c r="N7" s="213"/>
      <c r="O7" s="207"/>
    </row>
    <row r="8" spans="1:15" s="210" customFormat="1" ht="11.25">
      <c r="A8" s="207"/>
      <c r="B8" s="194">
        <f>DATE(gewJahr,1,1)</f>
        <v>43101</v>
      </c>
      <c r="C8" s="195">
        <f aca="true" t="shared" si="0" ref="C8:C38">WEEKDAY(B8)</f>
        <v>2</v>
      </c>
      <c r="D8" s="276">
        <v>0</v>
      </c>
      <c r="E8" s="276">
        <v>0</v>
      </c>
      <c r="F8" s="277">
        <f>MAX(IF(D8&lt;=E8,E8-D8,"24:00"-D8+E8)-G8,0)</f>
        <v>0</v>
      </c>
      <c r="G8" s="276">
        <v>0</v>
      </c>
      <c r="H8" s="276">
        <f>IF(F8-I8&gt;0,F8-I8,0)</f>
        <v>0</v>
      </c>
      <c r="I8" s="271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197"/>
      <c r="K8" s="208"/>
      <c r="L8" s="209"/>
      <c r="M8" s="209"/>
      <c r="N8" s="209"/>
      <c r="O8" s="207"/>
    </row>
    <row r="9" spans="1:15" s="210" customFormat="1" ht="11.25">
      <c r="A9" s="207"/>
      <c r="B9" s="198">
        <f>B8+1</f>
        <v>43102</v>
      </c>
      <c r="C9" s="199">
        <f t="shared" si="0"/>
        <v>3</v>
      </c>
      <c r="D9" s="278">
        <v>0.2916666666666667</v>
      </c>
      <c r="E9" s="278">
        <v>0.6458333333333334</v>
      </c>
      <c r="F9" s="268">
        <f>MAX(IF(D9&lt;=E9,E9-D9,"24:00"-D9+E9)-G9,0)</f>
        <v>0.3125</v>
      </c>
      <c r="G9" s="278">
        <v>0.041666666666666664</v>
      </c>
      <c r="H9" s="269">
        <f>IF(F9-I9&gt;0,F9-I9,0)</f>
        <v>0.3125</v>
      </c>
      <c r="I9" s="271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197"/>
      <c r="K9" s="208"/>
      <c r="L9" s="208"/>
      <c r="M9" s="208"/>
      <c r="N9" s="208"/>
      <c r="O9" s="207"/>
    </row>
    <row r="10" spans="1:15" s="210" customFormat="1" ht="11.25">
      <c r="A10" s="207"/>
      <c r="B10" s="198">
        <f aca="true" t="shared" si="1" ref="B10:B38">B9+1</f>
        <v>43103</v>
      </c>
      <c r="C10" s="199">
        <f t="shared" si="0"/>
        <v>4</v>
      </c>
      <c r="D10" s="278">
        <v>0.2916666666666667</v>
      </c>
      <c r="E10" s="278">
        <v>0.6458333333333334</v>
      </c>
      <c r="F10" s="268">
        <f>MAX(IF(D10&lt;=E10,E10-D10,"24:00"-D10+E10)-G10,0)</f>
        <v>0.3125</v>
      </c>
      <c r="G10" s="278">
        <v>0.041666666666666664</v>
      </c>
      <c r="H10" s="269">
        <f>IF(F10-I10&gt;0,F10-I10,0)</f>
        <v>0.3125</v>
      </c>
      <c r="I10" s="271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197"/>
      <c r="K10" s="208"/>
      <c r="L10" s="208"/>
      <c r="M10" s="208"/>
      <c r="N10" s="208"/>
      <c r="O10" s="207"/>
    </row>
    <row r="11" spans="1:15" s="210" customFormat="1" ht="11.25">
      <c r="A11" s="207"/>
      <c r="B11" s="198">
        <f t="shared" si="1"/>
        <v>43104</v>
      </c>
      <c r="C11" s="199">
        <f t="shared" si="0"/>
        <v>5</v>
      </c>
      <c r="D11" s="278">
        <v>0.2916666666666667</v>
      </c>
      <c r="E11" s="278">
        <v>0.6458333333333334</v>
      </c>
      <c r="F11" s="268">
        <f>MAX(IF(D11&lt;=E11,E11-D11,"24:00"-D11+E11)-G11,0)</f>
        <v>0.3125</v>
      </c>
      <c r="G11" s="278">
        <v>0.041666666666666664</v>
      </c>
      <c r="H11" s="269">
        <f>IF(F11-I11&gt;0,F11-I11,0)</f>
        <v>0.3125</v>
      </c>
      <c r="I11" s="271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197"/>
      <c r="K11" s="208"/>
      <c r="L11" s="208"/>
      <c r="M11" s="208"/>
      <c r="N11" s="208"/>
      <c r="O11" s="207"/>
    </row>
    <row r="12" spans="1:15" s="210" customFormat="1" ht="11.25">
      <c r="A12" s="207"/>
      <c r="B12" s="198">
        <f t="shared" si="1"/>
        <v>43105</v>
      </c>
      <c r="C12" s="199">
        <f t="shared" si="0"/>
        <v>6</v>
      </c>
      <c r="D12" s="278">
        <v>0.2916666666666667</v>
      </c>
      <c r="E12" s="278">
        <v>0.6458333333333334</v>
      </c>
      <c r="F12" s="268">
        <f>MAX(IF(D12&lt;=E12,E12-D12,"24:00"-D12+E12)-G12,0)</f>
        <v>0.3125</v>
      </c>
      <c r="G12" s="278">
        <v>0.041666666666666664</v>
      </c>
      <c r="H12" s="269">
        <f>IF(F12-I12&gt;0,F12-I12,0)</f>
        <v>0.3125</v>
      </c>
      <c r="I12" s="271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197"/>
      <c r="K12" s="209"/>
      <c r="L12" s="208"/>
      <c r="M12" s="208"/>
      <c r="N12" s="208"/>
      <c r="O12" s="207"/>
    </row>
    <row r="13" spans="1:15" s="210" customFormat="1" ht="11.25">
      <c r="A13" s="207"/>
      <c r="B13" s="198">
        <f>B12+1</f>
        <v>43106</v>
      </c>
      <c r="C13" s="199">
        <f t="shared" si="0"/>
        <v>7</v>
      </c>
      <c r="D13" s="279">
        <v>0.2916666666666667</v>
      </c>
      <c r="E13" s="279">
        <v>0.5833333333333334</v>
      </c>
      <c r="F13" s="268">
        <f>IF(D13&lt;=E13,E13-D13,"24:00"-D13+E13)-G13</f>
        <v>0.2916666666666667</v>
      </c>
      <c r="G13" s="280"/>
      <c r="H13" s="269">
        <f aca="true" t="shared" si="2" ref="H13:H38">IF(F13-I13&gt;0,F13-I13,0)</f>
        <v>0.2916666666666667</v>
      </c>
      <c r="I13" s="271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197"/>
      <c r="K13" s="208"/>
      <c r="L13" s="209"/>
      <c r="M13" s="208"/>
      <c r="N13" s="208"/>
      <c r="O13" s="207"/>
    </row>
    <row r="14" spans="1:15" s="210" customFormat="1" ht="11.25">
      <c r="A14" s="207"/>
      <c r="B14" s="198">
        <f t="shared" si="1"/>
        <v>43107</v>
      </c>
      <c r="C14" s="199">
        <f t="shared" si="0"/>
        <v>1</v>
      </c>
      <c r="D14" s="278">
        <v>0</v>
      </c>
      <c r="E14" s="278">
        <v>0</v>
      </c>
      <c r="F14" s="268">
        <f aca="true" t="shared" si="3" ref="F14:F38">MAX(IF(D14&lt;=E14,E14-D14,"24:00"-D14+E14)-G14,0)</f>
        <v>0</v>
      </c>
      <c r="G14" s="278"/>
      <c r="H14" s="269">
        <f t="shared" si="2"/>
        <v>0</v>
      </c>
      <c r="I14" s="271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197"/>
      <c r="K14" s="208"/>
      <c r="L14" s="208"/>
      <c r="M14" s="208"/>
      <c r="N14" s="208"/>
      <c r="O14" s="207"/>
    </row>
    <row r="15" spans="1:15" s="210" customFormat="1" ht="11.25">
      <c r="A15" s="207"/>
      <c r="B15" s="198">
        <f t="shared" si="1"/>
        <v>43108</v>
      </c>
      <c r="C15" s="199">
        <f t="shared" si="0"/>
        <v>2</v>
      </c>
      <c r="D15" s="278">
        <v>0</v>
      </c>
      <c r="E15" s="278">
        <v>0</v>
      </c>
      <c r="F15" s="268">
        <f t="shared" si="3"/>
        <v>0</v>
      </c>
      <c r="G15" s="278"/>
      <c r="H15" s="269">
        <f t="shared" si="2"/>
        <v>0</v>
      </c>
      <c r="I15" s="271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197" t="s">
        <v>113</v>
      </c>
      <c r="K15" s="208"/>
      <c r="L15" s="208"/>
      <c r="M15" s="208"/>
      <c r="N15" s="208"/>
      <c r="O15" s="207"/>
    </row>
    <row r="16" spans="1:15" s="210" customFormat="1" ht="11.25">
      <c r="A16" s="207"/>
      <c r="B16" s="198">
        <f t="shared" si="1"/>
        <v>43109</v>
      </c>
      <c r="C16" s="199">
        <f t="shared" si="0"/>
        <v>3</v>
      </c>
      <c r="D16" s="278">
        <v>0</v>
      </c>
      <c r="E16" s="278">
        <v>0</v>
      </c>
      <c r="F16" s="268">
        <f t="shared" si="3"/>
        <v>0</v>
      </c>
      <c r="G16" s="278"/>
      <c r="H16" s="269">
        <f t="shared" si="2"/>
        <v>0</v>
      </c>
      <c r="I16" s="271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197" t="s">
        <v>113</v>
      </c>
      <c r="K16" s="208"/>
      <c r="L16" s="208"/>
      <c r="M16" s="208"/>
      <c r="N16" s="208"/>
      <c r="O16" s="207"/>
    </row>
    <row r="17" spans="1:15" s="210" customFormat="1" ht="11.25">
      <c r="A17" s="207"/>
      <c r="B17" s="198">
        <f t="shared" si="1"/>
        <v>43110</v>
      </c>
      <c r="C17" s="199">
        <f t="shared" si="0"/>
        <v>4</v>
      </c>
      <c r="D17" s="278">
        <v>0</v>
      </c>
      <c r="E17" s="278">
        <v>0</v>
      </c>
      <c r="F17" s="268">
        <f t="shared" si="3"/>
        <v>0</v>
      </c>
      <c r="G17" s="278"/>
      <c r="H17" s="269">
        <f t="shared" si="2"/>
        <v>0</v>
      </c>
      <c r="I17" s="271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197" t="s">
        <v>113</v>
      </c>
      <c r="K17" s="208"/>
      <c r="L17" s="208"/>
      <c r="M17" s="208"/>
      <c r="N17" s="208"/>
      <c r="O17" s="207"/>
    </row>
    <row r="18" spans="1:15" s="210" customFormat="1" ht="11.25">
      <c r="A18" s="207"/>
      <c r="B18" s="198">
        <f t="shared" si="1"/>
        <v>43111</v>
      </c>
      <c r="C18" s="199">
        <f t="shared" si="0"/>
        <v>5</v>
      </c>
      <c r="D18" s="278">
        <v>0</v>
      </c>
      <c r="E18" s="278">
        <v>0</v>
      </c>
      <c r="F18" s="268">
        <f t="shared" si="3"/>
        <v>0</v>
      </c>
      <c r="G18" s="278"/>
      <c r="H18" s="269">
        <f t="shared" si="2"/>
        <v>0</v>
      </c>
      <c r="I18" s="271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197" t="s">
        <v>113</v>
      </c>
      <c r="K18" s="208"/>
      <c r="L18" s="208"/>
      <c r="M18" s="208"/>
      <c r="N18" s="208"/>
      <c r="O18" s="207"/>
    </row>
    <row r="19" spans="1:15" s="210" customFormat="1" ht="11.25">
      <c r="A19" s="207"/>
      <c r="B19" s="198">
        <f t="shared" si="1"/>
        <v>43112</v>
      </c>
      <c r="C19" s="199">
        <f t="shared" si="0"/>
        <v>6</v>
      </c>
      <c r="D19" s="278">
        <v>0</v>
      </c>
      <c r="E19" s="278">
        <v>0</v>
      </c>
      <c r="F19" s="268">
        <f t="shared" si="3"/>
        <v>0</v>
      </c>
      <c r="G19" s="278"/>
      <c r="H19" s="269">
        <f t="shared" si="2"/>
        <v>0</v>
      </c>
      <c r="I19" s="271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197" t="s">
        <v>113</v>
      </c>
      <c r="K19" s="208"/>
      <c r="L19" s="208"/>
      <c r="M19" s="208"/>
      <c r="N19" s="208"/>
      <c r="O19" s="207"/>
    </row>
    <row r="20" spans="1:15" s="210" customFormat="1" ht="11.25">
      <c r="A20" s="207"/>
      <c r="B20" s="198">
        <f t="shared" si="1"/>
        <v>43113</v>
      </c>
      <c r="C20" s="199">
        <f t="shared" si="0"/>
        <v>7</v>
      </c>
      <c r="D20" s="278">
        <v>0</v>
      </c>
      <c r="E20" s="278">
        <v>0</v>
      </c>
      <c r="F20" s="268">
        <f t="shared" si="3"/>
        <v>0</v>
      </c>
      <c r="G20" s="278"/>
      <c r="H20" s="269">
        <f t="shared" si="2"/>
        <v>0</v>
      </c>
      <c r="I20" s="271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197"/>
      <c r="K20" s="208"/>
      <c r="L20" s="208"/>
      <c r="M20" s="208"/>
      <c r="N20" s="208"/>
      <c r="O20" s="207"/>
    </row>
    <row r="21" spans="1:15" s="210" customFormat="1" ht="11.25">
      <c r="A21" s="207"/>
      <c r="B21" s="198">
        <f t="shared" si="1"/>
        <v>43114</v>
      </c>
      <c r="C21" s="199">
        <f t="shared" si="0"/>
        <v>1</v>
      </c>
      <c r="D21" s="278">
        <v>0</v>
      </c>
      <c r="E21" s="278">
        <v>0</v>
      </c>
      <c r="F21" s="268">
        <f t="shared" si="3"/>
        <v>0</v>
      </c>
      <c r="G21" s="278"/>
      <c r="H21" s="269">
        <f t="shared" si="2"/>
        <v>0</v>
      </c>
      <c r="I21" s="271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197"/>
      <c r="K21" s="208"/>
      <c r="L21" s="208"/>
      <c r="M21" s="208"/>
      <c r="N21" s="208"/>
      <c r="O21" s="207"/>
    </row>
    <row r="22" spans="1:15" s="210" customFormat="1" ht="11.25">
      <c r="A22" s="207"/>
      <c r="B22" s="198">
        <f t="shared" si="1"/>
        <v>43115</v>
      </c>
      <c r="C22" s="199">
        <f t="shared" si="0"/>
        <v>2</v>
      </c>
      <c r="D22" s="278">
        <v>0</v>
      </c>
      <c r="E22" s="278">
        <v>0</v>
      </c>
      <c r="F22" s="268">
        <f t="shared" si="3"/>
        <v>0</v>
      </c>
      <c r="G22" s="278"/>
      <c r="H22" s="269">
        <f t="shared" si="2"/>
        <v>0</v>
      </c>
      <c r="I22" s="271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197" t="s">
        <v>114</v>
      </c>
      <c r="K22" s="208"/>
      <c r="L22" s="208"/>
      <c r="M22" s="208"/>
      <c r="N22" s="208"/>
      <c r="O22" s="207"/>
    </row>
    <row r="23" spans="1:15" s="210" customFormat="1" ht="11.25">
      <c r="A23" s="207"/>
      <c r="B23" s="198">
        <f t="shared" si="1"/>
        <v>43116</v>
      </c>
      <c r="C23" s="199">
        <f t="shared" si="0"/>
        <v>3</v>
      </c>
      <c r="D23" s="278">
        <v>0</v>
      </c>
      <c r="E23" s="278">
        <v>0</v>
      </c>
      <c r="F23" s="268">
        <f t="shared" si="3"/>
        <v>0</v>
      </c>
      <c r="G23" s="278"/>
      <c r="H23" s="269">
        <f t="shared" si="2"/>
        <v>0</v>
      </c>
      <c r="I23" s="271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197" t="s">
        <v>114</v>
      </c>
      <c r="K23" s="208"/>
      <c r="L23" s="208"/>
      <c r="M23" s="208"/>
      <c r="N23" s="208"/>
      <c r="O23" s="207"/>
    </row>
    <row r="24" spans="1:15" s="210" customFormat="1" ht="11.25">
      <c r="A24" s="207"/>
      <c r="B24" s="198">
        <f t="shared" si="1"/>
        <v>43117</v>
      </c>
      <c r="C24" s="199">
        <f t="shared" si="0"/>
        <v>4</v>
      </c>
      <c r="D24" s="278">
        <v>0</v>
      </c>
      <c r="E24" s="278">
        <v>0</v>
      </c>
      <c r="F24" s="268">
        <f t="shared" si="3"/>
        <v>0</v>
      </c>
      <c r="G24" s="278"/>
      <c r="H24" s="269">
        <f t="shared" si="2"/>
        <v>0</v>
      </c>
      <c r="I24" s="271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197" t="s">
        <v>114</v>
      </c>
      <c r="K24" s="208"/>
      <c r="L24" s="208"/>
      <c r="M24" s="208"/>
      <c r="N24" s="208"/>
      <c r="O24" s="207"/>
    </row>
    <row r="25" spans="1:15" s="210" customFormat="1" ht="11.25">
      <c r="A25" s="207"/>
      <c r="B25" s="198">
        <f t="shared" si="1"/>
        <v>43118</v>
      </c>
      <c r="C25" s="199">
        <f t="shared" si="0"/>
        <v>5</v>
      </c>
      <c r="D25" s="278">
        <v>0</v>
      </c>
      <c r="E25" s="278">
        <v>0</v>
      </c>
      <c r="F25" s="268">
        <f t="shared" si="3"/>
        <v>0</v>
      </c>
      <c r="G25" s="278"/>
      <c r="H25" s="269">
        <f t="shared" si="2"/>
        <v>0</v>
      </c>
      <c r="I25" s="271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197" t="s">
        <v>114</v>
      </c>
      <c r="K25" s="208"/>
      <c r="L25" s="208"/>
      <c r="M25" s="208"/>
      <c r="N25" s="208"/>
      <c r="O25" s="207"/>
    </row>
    <row r="26" spans="1:15" s="210" customFormat="1" ht="11.25">
      <c r="A26" s="207"/>
      <c r="B26" s="198">
        <f t="shared" si="1"/>
        <v>43119</v>
      </c>
      <c r="C26" s="199">
        <f t="shared" si="0"/>
        <v>6</v>
      </c>
      <c r="D26" s="278">
        <v>0</v>
      </c>
      <c r="E26" s="278">
        <v>0</v>
      </c>
      <c r="F26" s="268">
        <f t="shared" si="3"/>
        <v>0</v>
      </c>
      <c r="G26" s="278"/>
      <c r="H26" s="269">
        <f t="shared" si="2"/>
        <v>0</v>
      </c>
      <c r="I26" s="271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197" t="s">
        <v>114</v>
      </c>
      <c r="K26" s="208"/>
      <c r="L26" s="208"/>
      <c r="M26" s="208"/>
      <c r="N26" s="208"/>
      <c r="O26" s="207"/>
    </row>
    <row r="27" spans="1:15" s="210" customFormat="1" ht="11.25">
      <c r="A27" s="207"/>
      <c r="B27" s="198">
        <f t="shared" si="1"/>
        <v>43120</v>
      </c>
      <c r="C27" s="199">
        <f t="shared" si="0"/>
        <v>7</v>
      </c>
      <c r="D27" s="278">
        <v>0.375</v>
      </c>
      <c r="E27" s="278">
        <v>0.75</v>
      </c>
      <c r="F27" s="268">
        <f t="shared" si="3"/>
        <v>0.2916666666666667</v>
      </c>
      <c r="G27" s="278">
        <v>0.08333333333333333</v>
      </c>
      <c r="H27" s="269">
        <f t="shared" si="2"/>
        <v>0.2916666666666667</v>
      </c>
      <c r="I27" s="271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197"/>
      <c r="K27" s="208"/>
      <c r="L27" s="208"/>
      <c r="M27" s="208"/>
      <c r="N27" s="208"/>
      <c r="O27" s="207"/>
    </row>
    <row r="28" spans="1:15" s="210" customFormat="1" ht="11.25">
      <c r="A28" s="207"/>
      <c r="B28" s="198">
        <f t="shared" si="1"/>
        <v>43121</v>
      </c>
      <c r="C28" s="199">
        <f t="shared" si="0"/>
        <v>1</v>
      </c>
      <c r="D28" s="278">
        <v>0.3333333333333333</v>
      </c>
      <c r="E28" s="278">
        <v>0.5833333333333334</v>
      </c>
      <c r="F28" s="268">
        <f t="shared" si="3"/>
        <v>0.25000000000000006</v>
      </c>
      <c r="G28" s="278"/>
      <c r="H28" s="269">
        <f t="shared" si="2"/>
        <v>0.25000000000000006</v>
      </c>
      <c r="I28" s="271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197"/>
      <c r="K28" s="208"/>
      <c r="L28" s="208"/>
      <c r="M28" s="208"/>
      <c r="N28" s="208"/>
      <c r="O28" s="207"/>
    </row>
    <row r="29" spans="1:15" s="210" customFormat="1" ht="11.25">
      <c r="A29" s="207"/>
      <c r="B29" s="198">
        <f t="shared" si="1"/>
        <v>43122</v>
      </c>
      <c r="C29" s="199">
        <f t="shared" si="0"/>
        <v>2</v>
      </c>
      <c r="D29" s="278">
        <v>0</v>
      </c>
      <c r="E29" s="278">
        <v>0</v>
      </c>
      <c r="F29" s="268">
        <f t="shared" si="3"/>
        <v>0</v>
      </c>
      <c r="G29" s="278"/>
      <c r="H29" s="269">
        <f>IF(F29-I29&gt;0,F29-I29,0)</f>
        <v>0</v>
      </c>
      <c r="I29" s="271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197"/>
      <c r="K29" s="208"/>
      <c r="L29" s="208"/>
      <c r="M29" s="208"/>
      <c r="N29" s="208"/>
      <c r="O29" s="207"/>
    </row>
    <row r="30" spans="1:15" s="210" customFormat="1" ht="11.25">
      <c r="A30" s="207"/>
      <c r="B30" s="198">
        <f t="shared" si="1"/>
        <v>43123</v>
      </c>
      <c r="C30" s="199">
        <f t="shared" si="0"/>
        <v>3</v>
      </c>
      <c r="D30" s="278">
        <v>0.2916666666666667</v>
      </c>
      <c r="E30" s="278">
        <v>0.6458333333333334</v>
      </c>
      <c r="F30" s="268">
        <f t="shared" si="3"/>
        <v>0.3125</v>
      </c>
      <c r="G30" s="278">
        <v>0.041666666666666664</v>
      </c>
      <c r="H30" s="269">
        <f t="shared" si="2"/>
        <v>0.3125</v>
      </c>
      <c r="I30" s="271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197"/>
      <c r="K30" s="208"/>
      <c r="L30" s="208"/>
      <c r="M30" s="208"/>
      <c r="N30" s="208"/>
      <c r="O30" s="207"/>
    </row>
    <row r="31" spans="1:15" s="210" customFormat="1" ht="11.25">
      <c r="A31" s="207"/>
      <c r="B31" s="198">
        <f t="shared" si="1"/>
        <v>43124</v>
      </c>
      <c r="C31" s="199">
        <f t="shared" si="0"/>
        <v>4</v>
      </c>
      <c r="D31" s="278">
        <v>0.2916666666666667</v>
      </c>
      <c r="E31" s="278">
        <v>0.6458333333333334</v>
      </c>
      <c r="F31" s="268">
        <f t="shared" si="3"/>
        <v>0.3125</v>
      </c>
      <c r="G31" s="278">
        <v>0.041666666666666664</v>
      </c>
      <c r="H31" s="269">
        <f t="shared" si="2"/>
        <v>0.3125</v>
      </c>
      <c r="I31" s="271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197"/>
      <c r="K31" s="208"/>
      <c r="L31" s="208"/>
      <c r="M31" s="208"/>
      <c r="N31" s="208"/>
      <c r="O31" s="207"/>
    </row>
    <row r="32" spans="1:15" s="210" customFormat="1" ht="11.25">
      <c r="A32" s="207"/>
      <c r="B32" s="198">
        <f t="shared" si="1"/>
        <v>43125</v>
      </c>
      <c r="C32" s="199">
        <f t="shared" si="0"/>
        <v>5</v>
      </c>
      <c r="D32" s="278">
        <v>0.2916666666666667</v>
      </c>
      <c r="E32" s="278">
        <v>0.6458333333333334</v>
      </c>
      <c r="F32" s="268">
        <f t="shared" si="3"/>
        <v>0.3125</v>
      </c>
      <c r="G32" s="278">
        <v>0.041666666666666664</v>
      </c>
      <c r="H32" s="269">
        <f t="shared" si="2"/>
        <v>0.3125</v>
      </c>
      <c r="I32" s="271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197"/>
      <c r="K32" s="208"/>
      <c r="L32" s="208"/>
      <c r="M32" s="208"/>
      <c r="N32" s="208"/>
      <c r="O32" s="207"/>
    </row>
    <row r="33" spans="1:15" s="210" customFormat="1" ht="11.25">
      <c r="A33" s="207"/>
      <c r="B33" s="198">
        <f t="shared" si="1"/>
        <v>43126</v>
      </c>
      <c r="C33" s="199">
        <f t="shared" si="0"/>
        <v>6</v>
      </c>
      <c r="D33" s="278">
        <v>0.2916666666666667</v>
      </c>
      <c r="E33" s="278">
        <v>0.6458333333333334</v>
      </c>
      <c r="F33" s="268">
        <f t="shared" si="3"/>
        <v>0.3125</v>
      </c>
      <c r="G33" s="278">
        <v>0.041666666666666664</v>
      </c>
      <c r="H33" s="269">
        <f t="shared" si="2"/>
        <v>0.3125</v>
      </c>
      <c r="I33" s="271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197"/>
      <c r="K33" s="208"/>
      <c r="L33" s="208"/>
      <c r="M33" s="208"/>
      <c r="N33" s="208"/>
      <c r="O33" s="207"/>
    </row>
    <row r="34" spans="1:15" s="210" customFormat="1" ht="11.25">
      <c r="A34" s="207"/>
      <c r="B34" s="198">
        <f t="shared" si="1"/>
        <v>43127</v>
      </c>
      <c r="C34" s="199">
        <f t="shared" si="0"/>
        <v>7</v>
      </c>
      <c r="D34" s="278">
        <v>0</v>
      </c>
      <c r="E34" s="278">
        <v>0</v>
      </c>
      <c r="F34" s="268">
        <f t="shared" si="3"/>
        <v>0</v>
      </c>
      <c r="G34" s="278"/>
      <c r="H34" s="269">
        <f t="shared" si="2"/>
        <v>0</v>
      </c>
      <c r="I34" s="271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197"/>
      <c r="K34" s="208"/>
      <c r="L34" s="208"/>
      <c r="M34" s="208"/>
      <c r="N34" s="208"/>
      <c r="O34" s="207"/>
    </row>
    <row r="35" spans="1:15" s="210" customFormat="1" ht="11.25">
      <c r="A35" s="207"/>
      <c r="B35" s="198">
        <f t="shared" si="1"/>
        <v>43128</v>
      </c>
      <c r="C35" s="199">
        <f t="shared" si="0"/>
        <v>1</v>
      </c>
      <c r="D35" s="278">
        <v>0</v>
      </c>
      <c r="E35" s="278">
        <v>0</v>
      </c>
      <c r="F35" s="268">
        <f t="shared" si="3"/>
        <v>0</v>
      </c>
      <c r="G35" s="278"/>
      <c r="H35" s="269">
        <f t="shared" si="2"/>
        <v>0</v>
      </c>
      <c r="I35" s="271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197"/>
      <c r="K35" s="208"/>
      <c r="L35" s="208"/>
      <c r="M35" s="208"/>
      <c r="N35" s="208"/>
      <c r="O35" s="207"/>
    </row>
    <row r="36" spans="1:15" s="210" customFormat="1" ht="11.25">
      <c r="A36" s="207"/>
      <c r="B36" s="198">
        <f t="shared" si="1"/>
        <v>43129</v>
      </c>
      <c r="C36" s="199">
        <f t="shared" si="0"/>
        <v>2</v>
      </c>
      <c r="D36" s="278">
        <v>0.2916666666666667</v>
      </c>
      <c r="E36" s="278">
        <v>0.6458333333333334</v>
      </c>
      <c r="F36" s="268">
        <f t="shared" si="3"/>
        <v>0.3125</v>
      </c>
      <c r="G36" s="278">
        <v>0.041666666666666664</v>
      </c>
      <c r="H36" s="269">
        <f t="shared" si="2"/>
        <v>0.3125</v>
      </c>
      <c r="I36" s="271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197"/>
      <c r="K36" s="208"/>
      <c r="L36" s="208"/>
      <c r="M36" s="208"/>
      <c r="N36" s="208"/>
      <c r="O36" s="207"/>
    </row>
    <row r="37" spans="1:15" s="210" customFormat="1" ht="11.25">
      <c r="A37" s="207"/>
      <c r="B37" s="198">
        <f t="shared" si="1"/>
        <v>43130</v>
      </c>
      <c r="C37" s="199">
        <f t="shared" si="0"/>
        <v>3</v>
      </c>
      <c r="D37" s="278">
        <v>0.2916666666666667</v>
      </c>
      <c r="E37" s="278">
        <v>0.6458333333333334</v>
      </c>
      <c r="F37" s="268">
        <f t="shared" si="3"/>
        <v>0.3125</v>
      </c>
      <c r="G37" s="278">
        <v>0.041666666666666664</v>
      </c>
      <c r="H37" s="269">
        <f t="shared" si="2"/>
        <v>0.3125</v>
      </c>
      <c r="I37" s="271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197"/>
      <c r="K37" s="208"/>
      <c r="L37" s="208"/>
      <c r="M37" s="208"/>
      <c r="N37" s="208"/>
      <c r="O37" s="207"/>
    </row>
    <row r="38" spans="1:15" s="210" customFormat="1" ht="11.25">
      <c r="A38" s="207"/>
      <c r="B38" s="198">
        <f t="shared" si="1"/>
        <v>43131</v>
      </c>
      <c r="C38" s="199">
        <f t="shared" si="0"/>
        <v>4</v>
      </c>
      <c r="D38" s="278">
        <v>0.2916666666666667</v>
      </c>
      <c r="E38" s="278">
        <v>0.6458333333333334</v>
      </c>
      <c r="F38" s="268">
        <f t="shared" si="3"/>
        <v>0.3125</v>
      </c>
      <c r="G38" s="278">
        <v>0.041666666666666664</v>
      </c>
      <c r="H38" s="269">
        <f t="shared" si="2"/>
        <v>0.3125</v>
      </c>
      <c r="I38" s="271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197"/>
      <c r="K38" s="208"/>
      <c r="L38" s="208"/>
      <c r="M38" s="208"/>
      <c r="N38" s="208"/>
      <c r="O38" s="207"/>
    </row>
    <row r="39" spans="1:15" s="210" customFormat="1" ht="12.75">
      <c r="A39" s="207"/>
      <c r="B39" s="188"/>
      <c r="C39" s="188"/>
      <c r="D39" s="577" t="s">
        <v>88</v>
      </c>
      <c r="E39" s="578"/>
      <c r="F39" s="270">
        <f>SUM(F7:F38)</f>
        <v>4.270833333333334</v>
      </c>
      <c r="G39" s="281"/>
      <c r="H39" s="270">
        <f>SUM(H8:H38)</f>
        <v>4.270833333333334</v>
      </c>
      <c r="I39" s="272">
        <f>SUM(I8:I38)</f>
        <v>0</v>
      </c>
      <c r="J39" s="244"/>
      <c r="K39" s="208"/>
      <c r="L39" s="208"/>
      <c r="M39" s="208"/>
      <c r="N39" s="208"/>
      <c r="O39" s="207"/>
    </row>
    <row r="40" spans="1:15" s="210" customFormat="1" ht="12" customHeight="1">
      <c r="A40" s="211"/>
      <c r="B40" s="188"/>
      <c r="C40" s="657" t="s">
        <v>318</v>
      </c>
      <c r="D40" s="657"/>
      <c r="E40" s="658"/>
      <c r="F40" s="576">
        <f>SUM(H39,PRODUCT(SUM(J40,J42,J32),Stammdaten!H28))</f>
        <v>7.395833333333334</v>
      </c>
      <c r="G40" s="664" t="s">
        <v>90</v>
      </c>
      <c r="H40" s="665"/>
      <c r="I40" s="666"/>
      <c r="J40" s="204">
        <f>COUNTIF(J8:J38,"u")</f>
        <v>5</v>
      </c>
      <c r="K40" s="208"/>
      <c r="L40" s="208"/>
      <c r="M40" s="208"/>
      <c r="N40" s="208"/>
      <c r="O40" s="207"/>
    </row>
    <row r="41" spans="1:15" s="210" customFormat="1" ht="12.75" customHeight="1">
      <c r="A41" s="211"/>
      <c r="B41" s="188"/>
      <c r="C41" s="659" t="s">
        <v>117</v>
      </c>
      <c r="D41" s="659"/>
      <c r="E41" s="660"/>
      <c r="F41" s="282">
        <v>0.2916666666666667</v>
      </c>
      <c r="G41" s="650" t="s">
        <v>115</v>
      </c>
      <c r="H41" s="651"/>
      <c r="I41" s="652"/>
      <c r="J41" s="205">
        <f>Stammdaten!$H$27-J40</f>
        <v>25</v>
      </c>
      <c r="K41" s="208"/>
      <c r="L41" s="208"/>
      <c r="M41" s="208"/>
      <c r="N41" s="208"/>
      <c r="O41" s="207"/>
    </row>
    <row r="42" spans="1:15" s="210" customFormat="1" ht="12.75" customHeight="1">
      <c r="A42" s="211"/>
      <c r="B42" s="188"/>
      <c r="C42" s="615" t="s">
        <v>121</v>
      </c>
      <c r="D42" s="615"/>
      <c r="E42" s="661"/>
      <c r="F42" s="283">
        <v>0.2916666666666667</v>
      </c>
      <c r="G42" s="664" t="s">
        <v>91</v>
      </c>
      <c r="H42" s="665"/>
      <c r="I42" s="666"/>
      <c r="J42" s="206">
        <f>COUNTIF(J8:J38,"k")</f>
        <v>5</v>
      </c>
      <c r="K42" s="193"/>
      <c r="L42" s="212"/>
      <c r="M42" s="197">
        <f>COUNTIF(M8:M38,"k")</f>
        <v>0</v>
      </c>
      <c r="N42" s="208"/>
      <c r="O42" s="207"/>
    </row>
    <row r="43" spans="1:15" s="210" customFormat="1" ht="12.75" customHeight="1">
      <c r="A43" s="211"/>
      <c r="B43" s="188"/>
      <c r="C43" s="662" t="s">
        <v>122</v>
      </c>
      <c r="D43" s="662"/>
      <c r="E43" s="663"/>
      <c r="F43" s="284">
        <v>0.25</v>
      </c>
      <c r="G43" s="664" t="s">
        <v>116</v>
      </c>
      <c r="H43" s="640"/>
      <c r="I43" s="640"/>
      <c r="J43" s="197">
        <f>COUNTIF(J8:J38,"nu")</f>
        <v>0</v>
      </c>
      <c r="K43" s="208"/>
      <c r="L43" s="208"/>
      <c r="M43" s="208"/>
      <c r="N43" s="208"/>
      <c r="O43" s="207"/>
    </row>
    <row r="44" spans="1:15" s="210" customFormat="1" ht="12.75">
      <c r="A44" s="211"/>
      <c r="B44" s="188"/>
      <c r="C44" s="615" t="str">
        <f>Stammdaten!$F$23</f>
        <v>Sonderschicht I</v>
      </c>
      <c r="D44" s="615"/>
      <c r="E44" s="661"/>
      <c r="F44" s="283">
        <v>0</v>
      </c>
      <c r="H44" s="81"/>
      <c r="I44" s="5"/>
      <c r="J44" s="5"/>
      <c r="K44" s="208"/>
      <c r="L44" s="208"/>
      <c r="M44" s="208"/>
      <c r="N44" s="208"/>
      <c r="O44" s="207"/>
    </row>
    <row r="45" spans="1:15" s="210" customFormat="1" ht="12.75" customHeight="1">
      <c r="A45" s="211"/>
      <c r="B45" s="188"/>
      <c r="C45" s="615" t="str">
        <f>Stammdaten!$G$24</f>
        <v>Sonderschicht II</v>
      </c>
      <c r="D45" s="615"/>
      <c r="E45" s="661"/>
      <c r="F45" s="283">
        <v>0</v>
      </c>
      <c r="G45" s="193"/>
      <c r="H45" s="485"/>
      <c r="I45" s="492"/>
      <c r="J45" s="211"/>
      <c r="K45" s="208"/>
      <c r="L45" s="208"/>
      <c r="M45" s="208"/>
      <c r="N45" s="208"/>
      <c r="O45" s="207"/>
    </row>
    <row r="46" spans="1:14" ht="11.25" customHeight="1">
      <c r="A46" s="165"/>
      <c r="B46" s="182"/>
      <c r="C46" s="653" t="s">
        <v>183</v>
      </c>
      <c r="D46" s="653"/>
      <c r="E46" s="654"/>
      <c r="F46" s="274">
        <f>$I$39</f>
        <v>0</v>
      </c>
      <c r="G46" s="183"/>
      <c r="H46" s="81"/>
      <c r="I46" s="5"/>
      <c r="J46" s="5"/>
      <c r="K46" s="77"/>
      <c r="L46" s="65"/>
      <c r="M46" s="65"/>
      <c r="N46" s="65"/>
    </row>
    <row r="47" spans="1:14" ht="12.75">
      <c r="A47" s="165"/>
      <c r="B47" s="182"/>
      <c r="C47" s="655" t="s">
        <v>33</v>
      </c>
      <c r="D47" s="655"/>
      <c r="E47" s="656"/>
      <c r="F47" s="564">
        <f>Arbeitszeitübersicht!D8/24</f>
        <v>0.4791666666666667</v>
      </c>
      <c r="G47" s="222"/>
      <c r="H47" s="81"/>
      <c r="I47" s="5"/>
      <c r="J47" s="5"/>
      <c r="K47" s="77"/>
      <c r="L47" s="77"/>
      <c r="M47" s="77"/>
      <c r="N47" s="77"/>
    </row>
    <row r="48" spans="2:14" ht="12.75">
      <c r="B48" s="4"/>
      <c r="C48" s="4"/>
      <c r="H48" s="4"/>
      <c r="I48" s="102"/>
      <c r="J48" s="11"/>
      <c r="K48" s="11"/>
      <c r="L48" s="5"/>
      <c r="N48" s="101"/>
    </row>
    <row r="49" spans="2:12" ht="12.75">
      <c r="B49" s="5"/>
      <c r="C49" s="665"/>
      <c r="D49" s="665"/>
      <c r="E49" s="459" t="s">
        <v>251</v>
      </c>
      <c r="F49" s="460"/>
      <c r="G49" s="457"/>
      <c r="H49" s="458"/>
      <c r="I49" s="457"/>
      <c r="J49" s="457"/>
      <c r="K49" s="5"/>
      <c r="L49" s="4"/>
    </row>
    <row r="50" spans="2:12" ht="12.75">
      <c r="B50" s="4"/>
      <c r="C50" s="11"/>
      <c r="D50" s="669"/>
      <c r="E50" s="669"/>
      <c r="F50" s="669"/>
      <c r="G50" s="11"/>
      <c r="H50" s="77"/>
      <c r="I50" s="11"/>
      <c r="J50" s="5"/>
      <c r="K50" s="5"/>
      <c r="L50" s="4"/>
    </row>
    <row r="51" spans="2:13" ht="12.75">
      <c r="B51" s="4"/>
      <c r="C51" s="11"/>
      <c r="D51" s="669"/>
      <c r="E51" s="669"/>
      <c r="F51" s="669"/>
      <c r="G51" s="5"/>
      <c r="H51" s="103"/>
      <c r="I51" s="11"/>
      <c r="J51" s="5"/>
      <c r="K51" s="5"/>
      <c r="L51" s="4"/>
      <c r="M51" s="101"/>
    </row>
    <row r="52" spans="2:14" ht="12.75">
      <c r="B52" s="4"/>
      <c r="C52" s="5"/>
      <c r="D52" s="13"/>
      <c r="E52" s="669"/>
      <c r="F52" s="670"/>
      <c r="G52" s="670"/>
      <c r="H52" s="100"/>
      <c r="I52" s="100"/>
      <c r="J52" s="5"/>
      <c r="K52" s="5"/>
      <c r="L52" s="4"/>
      <c r="M52" s="101"/>
      <c r="N52" s="101"/>
    </row>
    <row r="53" spans="2:14" ht="12.75">
      <c r="B53" s="4"/>
      <c r="C53" s="4"/>
      <c r="D53" s="5"/>
      <c r="E53" s="669"/>
      <c r="F53" s="670"/>
      <c r="G53" s="670"/>
      <c r="H53" s="81"/>
      <c r="I53" s="5"/>
      <c r="J53" s="5"/>
      <c r="K53" s="5"/>
      <c r="L53" s="4"/>
      <c r="N53" s="101"/>
    </row>
    <row r="54" spans="2:12" ht="0.75" customHeight="1">
      <c r="B54" s="4"/>
      <c r="C54" s="4"/>
      <c r="D54" s="4"/>
      <c r="E54" s="4"/>
      <c r="F54" s="4"/>
      <c r="H54" s="102"/>
      <c r="I54" s="11"/>
      <c r="J54" s="11"/>
      <c r="K54" s="5"/>
      <c r="L54" s="4"/>
    </row>
    <row r="55" spans="2:12" ht="12.75" customHeight="1" hidden="1">
      <c r="B55" s="4"/>
      <c r="C55" s="4"/>
      <c r="D55" s="4"/>
      <c r="E55" s="5"/>
      <c r="F55" s="5"/>
      <c r="G55" s="5"/>
      <c r="H55" s="102"/>
      <c r="I55" s="11"/>
      <c r="J55" s="5"/>
      <c r="K55" s="5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5"/>
      <c r="D57" s="5"/>
      <c r="E57" s="11"/>
      <c r="F57" s="13"/>
      <c r="G57" s="13"/>
      <c r="H57" s="81"/>
      <c r="I57" s="4"/>
      <c r="J57" s="4"/>
      <c r="K57" s="4"/>
      <c r="L57" s="4"/>
    </row>
    <row r="58" spans="2:12" ht="12.75" hidden="1">
      <c r="B58" s="4"/>
      <c r="C58" s="5"/>
      <c r="D58" s="5"/>
      <c r="E58" s="5"/>
      <c r="F58" s="5"/>
      <c r="G58" s="5"/>
      <c r="H58" s="5"/>
      <c r="I58" s="5"/>
      <c r="J58" s="5"/>
      <c r="K58" s="4"/>
      <c r="L58" s="4"/>
    </row>
    <row r="59" spans="2:12" ht="12.75" hidden="1">
      <c r="B59" s="4"/>
      <c r="C59" s="4"/>
      <c r="D59" s="4"/>
      <c r="E59" s="4"/>
      <c r="F59" s="4"/>
      <c r="H59" s="4"/>
      <c r="I59" s="5"/>
      <c r="J59" s="5"/>
      <c r="K59" s="4"/>
      <c r="L59" s="4"/>
    </row>
    <row r="60" spans="2:12" ht="15.75" customHeight="1" hidden="1">
      <c r="B60" s="4"/>
      <c r="C60" s="4"/>
      <c r="D60" s="4"/>
      <c r="E60" s="4"/>
      <c r="F60" s="4"/>
      <c r="H60" s="4"/>
      <c r="I60" s="4"/>
      <c r="J60" s="4"/>
      <c r="L60" s="4"/>
    </row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</sheetData>
  <sheetProtection/>
  <mergeCells count="20">
    <mergeCell ref="G42:I42"/>
    <mergeCell ref="G40:I40"/>
    <mergeCell ref="J2:J6"/>
    <mergeCell ref="E53:G53"/>
    <mergeCell ref="E52:G52"/>
    <mergeCell ref="C49:D49"/>
    <mergeCell ref="D51:F51"/>
    <mergeCell ref="D50:F50"/>
    <mergeCell ref="B4:C4"/>
    <mergeCell ref="G43:I43"/>
    <mergeCell ref="B7:C7"/>
    <mergeCell ref="G41:I41"/>
    <mergeCell ref="C46:E46"/>
    <mergeCell ref="C47:E47"/>
    <mergeCell ref="C40:E40"/>
    <mergeCell ref="C41:E41"/>
    <mergeCell ref="C42:E42"/>
    <mergeCell ref="C43:E43"/>
    <mergeCell ref="C44:E44"/>
    <mergeCell ref="C45:E45"/>
  </mergeCells>
  <conditionalFormatting sqref="B9">
    <cfRule type="expression" priority="13" dxfId="194" stopIfTrue="1">
      <formula>WEEKDAY($B9)=1</formula>
    </cfRule>
    <cfRule type="expression" priority="14" dxfId="1" stopIfTrue="1">
      <formula>WEEKDAY($B9)=7</formula>
    </cfRule>
  </conditionalFormatting>
  <conditionalFormatting sqref="B10:B12 B14:B38 F9 F14:F38 H14:H38 H9">
    <cfRule type="expression" priority="15" dxfId="0" stopIfTrue="1">
      <formula>WEEKDAY($B9)=1</formula>
    </cfRule>
    <cfRule type="expression" priority="16" dxfId="1" stopIfTrue="1">
      <formula>WEEKDAY($B9)=7</formula>
    </cfRule>
  </conditionalFormatting>
  <conditionalFormatting sqref="C9:E9 G9 C10:C12 C14:E38 G14:G38">
    <cfRule type="expression" priority="17" dxfId="0" stopIfTrue="1">
      <formula>WEEKDAY($B9)=1</formula>
    </cfRule>
    <cfRule type="expression" priority="18" dxfId="1" stopIfTrue="1">
      <formula>WEEKDAY($B9)=7</formula>
    </cfRule>
  </conditionalFormatting>
  <conditionalFormatting sqref="F13">
    <cfRule type="expression" priority="19" dxfId="29" stopIfTrue="1">
      <formula>$C5=1</formula>
    </cfRule>
    <cfRule type="expression" priority="20" dxfId="50" stopIfTrue="1">
      <formula>WEEKDAY($B13)=7</formula>
    </cfRule>
    <cfRule type="expression" priority="21" dxfId="0" stopIfTrue="1">
      <formula>WEEKDAY($B13)=1</formula>
    </cfRule>
  </conditionalFormatting>
  <conditionalFormatting sqref="C13">
    <cfRule type="expression" priority="22" dxfId="29" stopIfTrue="1">
      <formula>$C5=1</formula>
    </cfRule>
    <cfRule type="expression" priority="23" dxfId="1" stopIfTrue="1">
      <formula>WEEKDAY($B13)=7</formula>
    </cfRule>
    <cfRule type="expression" priority="24" dxfId="0" stopIfTrue="1">
      <formula>WEEKDAY($B13)=1</formula>
    </cfRule>
  </conditionalFormatting>
  <conditionalFormatting sqref="D13:E13">
    <cfRule type="expression" priority="25" dxfId="29" stopIfTrue="1">
      <formula>$C5=1</formula>
    </cfRule>
    <cfRule type="expression" priority="26" dxfId="1" stopIfTrue="1">
      <formula>WEEKDAY($B13)=7</formula>
    </cfRule>
    <cfRule type="expression" priority="27" dxfId="0" stopIfTrue="1">
      <formula>WEEKDAY($B13)=1</formula>
    </cfRule>
  </conditionalFormatting>
  <conditionalFormatting sqref="B13">
    <cfRule type="expression" priority="28" dxfId="29" stopIfTrue="1">
      <formula>$C5=1</formula>
    </cfRule>
    <cfRule type="expression" priority="29" dxfId="50" stopIfTrue="1">
      <formula>WEEKDAY($B13)=7</formula>
    </cfRule>
    <cfRule type="expression" priority="30" dxfId="0" stopIfTrue="1">
      <formula>WEEKDAY($B13)=1</formula>
    </cfRule>
  </conditionalFormatting>
  <conditionalFormatting sqref="G13">
    <cfRule type="expression" priority="31" dxfId="29" stopIfTrue="1">
      <formula>$C5=1</formula>
    </cfRule>
    <cfRule type="expression" priority="32" dxfId="1" stopIfTrue="1">
      <formula>WEEKDAY($B13)=7</formula>
    </cfRule>
    <cfRule type="expression" priority="33" dxfId="0" stopIfTrue="1">
      <formula>WEEKDAY($B13)=1</formula>
    </cfRule>
  </conditionalFormatting>
  <conditionalFormatting sqref="H13">
    <cfRule type="expression" priority="34" dxfId="29" stopIfTrue="1">
      <formula>$C5=1</formula>
    </cfRule>
    <cfRule type="expression" priority="35" dxfId="1" stopIfTrue="1">
      <formula>WEEKDAY($B13)=7</formula>
    </cfRule>
    <cfRule type="expression" priority="36" dxfId="0" stopIfTrue="1">
      <formula>WEEKDAY($B13)=1</formula>
    </cfRule>
  </conditionalFormatting>
  <conditionalFormatting sqref="I8:I38">
    <cfRule type="expression" priority="37" dxfId="0" stopIfTrue="1">
      <formula>WEEKDAY($B8)=1</formula>
    </cfRule>
    <cfRule type="expression" priority="38" dxfId="1" stopIfTrue="1">
      <formula>WEEKDAY($B8)=7</formula>
    </cfRule>
  </conditionalFormatting>
  <conditionalFormatting sqref="F10 H10">
    <cfRule type="expression" priority="9" dxfId="0" stopIfTrue="1">
      <formula>WEEKDAY($B10)=1</formula>
    </cfRule>
    <cfRule type="expression" priority="10" dxfId="1" stopIfTrue="1">
      <formula>WEEKDAY($B10)=7</formula>
    </cfRule>
  </conditionalFormatting>
  <conditionalFormatting sqref="D10:E10 G10">
    <cfRule type="expression" priority="11" dxfId="0" stopIfTrue="1">
      <formula>WEEKDAY($B10)=1</formula>
    </cfRule>
    <cfRule type="expression" priority="12" dxfId="1" stopIfTrue="1">
      <formula>WEEKDAY($B10)=7</formula>
    </cfRule>
  </conditionalFormatting>
  <conditionalFormatting sqref="F11 H11">
    <cfRule type="expression" priority="5" dxfId="0" stopIfTrue="1">
      <formula>WEEKDAY($B11)=1</formula>
    </cfRule>
    <cfRule type="expression" priority="6" dxfId="1" stopIfTrue="1">
      <formula>WEEKDAY($B11)=7</formula>
    </cfRule>
  </conditionalFormatting>
  <conditionalFormatting sqref="D11:E11 G11">
    <cfRule type="expression" priority="7" dxfId="0" stopIfTrue="1">
      <formula>WEEKDAY($B11)=1</formula>
    </cfRule>
    <cfRule type="expression" priority="8" dxfId="1" stopIfTrue="1">
      <formula>WEEKDAY($B11)=7</formula>
    </cfRule>
  </conditionalFormatting>
  <conditionalFormatting sqref="F12 H12">
    <cfRule type="expression" priority="1" dxfId="0" stopIfTrue="1">
      <formula>WEEKDAY($B12)=1</formula>
    </cfRule>
    <cfRule type="expression" priority="2" dxfId="1" stopIfTrue="1">
      <formula>WEEKDAY($B12)=7</formula>
    </cfRule>
  </conditionalFormatting>
  <conditionalFormatting sqref="D12:E12 G12">
    <cfRule type="expression" priority="3" dxfId="0" stopIfTrue="1">
      <formula>WEEKDAY($B12)=1</formula>
    </cfRule>
    <cfRule type="expression" priority="4" dxfId="1" stopIfTrue="1">
      <formula>WEEKDAY($B12)=7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0"/>
  <dimension ref="A1:O59"/>
  <sheetViews>
    <sheetView defaultGridColor="0" zoomScalePageLayoutView="0" colorId="22" workbookViewId="0" topLeftCell="A1">
      <selection activeCell="F40" sqref="F40"/>
    </sheetView>
  </sheetViews>
  <sheetFormatPr defaultColWidth="0" defaultRowHeight="15.75" customHeight="1" zeroHeight="1"/>
  <cols>
    <col min="1" max="1" width="3.57421875" style="4" customWidth="1"/>
    <col min="2" max="2" width="7.140625" style="0" customWidth="1"/>
    <col min="3" max="3" width="3.8515625" style="0" customWidth="1"/>
    <col min="4" max="6" width="7.57421875" style="0" customWidth="1"/>
    <col min="7" max="7" width="8.00390625" style="4" customWidth="1"/>
    <col min="8" max="8" width="7.140625" style="0" customWidth="1"/>
    <col min="9" max="9" width="7.57421875" style="0" customWidth="1"/>
    <col min="10" max="10" width="4.71093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3"/>
      <c r="L1" s="14"/>
      <c r="M1" s="14"/>
      <c r="N1" s="14"/>
    </row>
    <row r="2" spans="2:14" ht="15">
      <c r="B2" s="446" t="str">
        <f>"Arbeitszeitachweis Februar "&amp;gewJahr</f>
        <v>Arbeitszeitachweis Februar 2018</v>
      </c>
      <c r="C2" s="447"/>
      <c r="D2" s="447"/>
      <c r="E2" s="447"/>
      <c r="F2" s="447"/>
      <c r="G2" s="446"/>
      <c r="H2" s="446"/>
      <c r="I2" s="446"/>
      <c r="J2" s="667" t="s">
        <v>92</v>
      </c>
      <c r="K2" s="13"/>
      <c r="L2" s="63"/>
      <c r="M2" s="14"/>
      <c r="N2" s="14"/>
    </row>
    <row r="3" spans="2:14" ht="15.75" customHeight="1">
      <c r="B3" s="484" t="s">
        <v>124</v>
      </c>
      <c r="C3" s="456" t="str">
        <f>Stammdaten!$B$6</f>
        <v>Mustermann, Hans</v>
      </c>
      <c r="D3" s="449"/>
      <c r="E3" s="449"/>
      <c r="F3" s="450"/>
      <c r="G3" s="450"/>
      <c r="H3" s="445"/>
      <c r="I3" s="451"/>
      <c r="J3" s="643"/>
      <c r="K3" s="14"/>
      <c r="L3" s="13"/>
      <c r="M3" s="13"/>
      <c r="N3" s="13"/>
    </row>
    <row r="4" spans="2:14" ht="9" customHeight="1" hidden="1">
      <c r="B4" s="671"/>
      <c r="C4" s="671"/>
      <c r="D4" s="448"/>
      <c r="E4" s="449"/>
      <c r="F4" s="449"/>
      <c r="G4" s="450"/>
      <c r="H4" s="14"/>
      <c r="I4" s="14"/>
      <c r="J4" s="643"/>
      <c r="K4" s="4"/>
      <c r="L4" s="14"/>
      <c r="M4" s="14"/>
      <c r="N4" s="14"/>
    </row>
    <row r="5" spans="2:12" ht="18" customHeight="1" hidden="1">
      <c r="B5" s="4"/>
      <c r="C5" s="66"/>
      <c r="D5" s="4"/>
      <c r="E5" s="4"/>
      <c r="F5" s="4"/>
      <c r="H5" s="4"/>
      <c r="I5" s="4"/>
      <c r="J5" s="643"/>
      <c r="K5" s="5"/>
      <c r="L5" s="4"/>
    </row>
    <row r="6" spans="2:14" ht="15.75" customHeight="1">
      <c r="B6" s="43"/>
      <c r="C6" s="43"/>
      <c r="D6" s="43"/>
      <c r="E6" s="43"/>
      <c r="F6" s="43"/>
      <c r="G6" s="43"/>
      <c r="H6" s="43"/>
      <c r="I6" s="43"/>
      <c r="J6" s="668"/>
      <c r="K6" s="78"/>
      <c r="L6" s="5"/>
      <c r="M6" s="5"/>
      <c r="N6" s="5"/>
    </row>
    <row r="7" spans="2:14" ht="26.25" customHeight="1">
      <c r="B7" s="648" t="s">
        <v>38</v>
      </c>
      <c r="C7" s="649"/>
      <c r="D7" s="453" t="s">
        <v>247</v>
      </c>
      <c r="E7" s="454" t="s">
        <v>248</v>
      </c>
      <c r="F7" s="455" t="s">
        <v>249</v>
      </c>
      <c r="G7" s="455" t="s">
        <v>250</v>
      </c>
      <c r="H7" s="177" t="s">
        <v>65</v>
      </c>
      <c r="I7" s="178" t="s">
        <v>39</v>
      </c>
      <c r="J7" s="179" t="s">
        <v>89</v>
      </c>
      <c r="K7" s="79"/>
      <c r="L7" s="78"/>
      <c r="M7" s="78"/>
      <c r="N7" s="78"/>
    </row>
    <row r="8" spans="1:15" s="210" customFormat="1" ht="11.25">
      <c r="A8" s="207"/>
      <c r="B8" s="198">
        <f>DATE(gewJahr,2,1)</f>
        <v>43132</v>
      </c>
      <c r="C8" s="199">
        <f aca="true" t="shared" si="0" ref="C8:C35">WEEKDAY(B8)</f>
        <v>5</v>
      </c>
      <c r="D8" s="278">
        <v>0</v>
      </c>
      <c r="E8" s="278">
        <v>0</v>
      </c>
      <c r="F8" s="268">
        <f aca="true" t="shared" si="1" ref="F8:F13">MAX(IF(D8&lt;=E8,E8-D8,"24:00"-D8+E8)-G8,0)</f>
        <v>0</v>
      </c>
      <c r="G8" s="278"/>
      <c r="H8" s="269">
        <f>IF(F8-I8&gt;0,F8-I8,0)</f>
        <v>0</v>
      </c>
      <c r="I8" s="271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197"/>
      <c r="K8" s="208"/>
      <c r="L8" s="209"/>
      <c r="M8" s="209"/>
      <c r="N8" s="209"/>
      <c r="O8" s="207"/>
    </row>
    <row r="9" spans="1:15" s="210" customFormat="1" ht="11.25">
      <c r="A9" s="207"/>
      <c r="B9" s="198">
        <f>B8+1</f>
        <v>43133</v>
      </c>
      <c r="C9" s="199">
        <f t="shared" si="0"/>
        <v>6</v>
      </c>
      <c r="D9" s="278">
        <v>0</v>
      </c>
      <c r="E9" s="278">
        <v>0</v>
      </c>
      <c r="F9" s="268">
        <f t="shared" si="1"/>
        <v>0</v>
      </c>
      <c r="G9" s="278"/>
      <c r="H9" s="269">
        <f aca="true" t="shared" si="2" ref="H9:H35">IF(F9-I9&gt;0,F9-I9,0)</f>
        <v>0</v>
      </c>
      <c r="I9" s="271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197"/>
      <c r="K9" s="208"/>
      <c r="L9" s="208"/>
      <c r="M9" s="208"/>
      <c r="N9" s="208"/>
      <c r="O9" s="207"/>
    </row>
    <row r="10" spans="1:15" s="210" customFormat="1" ht="11.25">
      <c r="A10" s="207"/>
      <c r="B10" s="198">
        <f aca="true" t="shared" si="3" ref="B10:B35">B9+1</f>
        <v>43134</v>
      </c>
      <c r="C10" s="199">
        <f t="shared" si="0"/>
        <v>7</v>
      </c>
      <c r="D10" s="278">
        <v>0</v>
      </c>
      <c r="E10" s="278">
        <v>0</v>
      </c>
      <c r="F10" s="268">
        <f t="shared" si="1"/>
        <v>0</v>
      </c>
      <c r="G10" s="278"/>
      <c r="H10" s="269">
        <f t="shared" si="2"/>
        <v>0</v>
      </c>
      <c r="I10" s="271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197"/>
      <c r="K10" s="208"/>
      <c r="L10" s="208"/>
      <c r="M10" s="208"/>
      <c r="N10" s="208"/>
      <c r="O10" s="207"/>
    </row>
    <row r="11" spans="1:15" s="210" customFormat="1" ht="11.25">
      <c r="A11" s="207"/>
      <c r="B11" s="198">
        <f t="shared" si="3"/>
        <v>43135</v>
      </c>
      <c r="C11" s="199">
        <f t="shared" si="0"/>
        <v>1</v>
      </c>
      <c r="D11" s="278">
        <v>0</v>
      </c>
      <c r="E11" s="278">
        <v>0</v>
      </c>
      <c r="F11" s="268">
        <f t="shared" si="1"/>
        <v>0</v>
      </c>
      <c r="G11" s="278"/>
      <c r="H11" s="269">
        <f t="shared" si="2"/>
        <v>0</v>
      </c>
      <c r="I11" s="271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197"/>
      <c r="K11" s="208"/>
      <c r="L11" s="208"/>
      <c r="M11" s="208"/>
      <c r="N11" s="208"/>
      <c r="O11" s="207"/>
    </row>
    <row r="12" spans="1:15" s="210" customFormat="1" ht="11.25">
      <c r="A12" s="207"/>
      <c r="B12" s="198">
        <f t="shared" si="3"/>
        <v>43136</v>
      </c>
      <c r="C12" s="199">
        <f t="shared" si="0"/>
        <v>2</v>
      </c>
      <c r="D12" s="278">
        <v>0</v>
      </c>
      <c r="E12" s="278">
        <v>0</v>
      </c>
      <c r="F12" s="268">
        <f t="shared" si="1"/>
        <v>0</v>
      </c>
      <c r="G12" s="278"/>
      <c r="H12" s="269">
        <f t="shared" si="2"/>
        <v>0</v>
      </c>
      <c r="I12" s="271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197"/>
      <c r="K12" s="209"/>
      <c r="L12" s="208"/>
      <c r="M12" s="208"/>
      <c r="N12" s="208"/>
      <c r="O12" s="207"/>
    </row>
    <row r="13" spans="1:15" s="210" customFormat="1" ht="11.25">
      <c r="A13" s="207"/>
      <c r="B13" s="198">
        <f>B12+1</f>
        <v>43137</v>
      </c>
      <c r="C13" s="199">
        <f t="shared" si="0"/>
        <v>3</v>
      </c>
      <c r="D13" s="278">
        <v>0</v>
      </c>
      <c r="E13" s="278">
        <v>0</v>
      </c>
      <c r="F13" s="268">
        <f t="shared" si="1"/>
        <v>0</v>
      </c>
      <c r="G13" s="278"/>
      <c r="H13" s="269">
        <f t="shared" si="2"/>
        <v>0</v>
      </c>
      <c r="I13" s="271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197"/>
      <c r="K13" s="208"/>
      <c r="L13" s="209"/>
      <c r="M13" s="208"/>
      <c r="N13" s="208"/>
      <c r="O13" s="207"/>
    </row>
    <row r="14" spans="1:15" s="210" customFormat="1" ht="11.25">
      <c r="A14" s="207"/>
      <c r="B14" s="198">
        <f t="shared" si="3"/>
        <v>43138</v>
      </c>
      <c r="C14" s="199">
        <f t="shared" si="0"/>
        <v>4</v>
      </c>
      <c r="D14" s="278">
        <v>0</v>
      </c>
      <c r="E14" s="278">
        <v>0</v>
      </c>
      <c r="F14" s="268">
        <f aca="true" t="shared" si="4" ref="F14:F34">MAX(IF(D14&lt;=E14,E14-D14,"24:00"-D14+E14)-G14,0)</f>
        <v>0</v>
      </c>
      <c r="G14" s="278"/>
      <c r="H14" s="269">
        <f t="shared" si="2"/>
        <v>0</v>
      </c>
      <c r="I14" s="271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583"/>
      <c r="K14" s="208"/>
      <c r="L14" s="208"/>
      <c r="M14" s="208"/>
      <c r="N14" s="208"/>
      <c r="O14" s="207"/>
    </row>
    <row r="15" spans="1:15" s="210" customFormat="1" ht="11.25">
      <c r="A15" s="207"/>
      <c r="B15" s="198">
        <f t="shared" si="3"/>
        <v>43139</v>
      </c>
      <c r="C15" s="199">
        <f t="shared" si="0"/>
        <v>5</v>
      </c>
      <c r="D15" s="278">
        <v>0</v>
      </c>
      <c r="E15" s="278">
        <v>0</v>
      </c>
      <c r="F15" s="268">
        <f t="shared" si="4"/>
        <v>0</v>
      </c>
      <c r="G15" s="278"/>
      <c r="H15" s="269">
        <f t="shared" si="2"/>
        <v>0</v>
      </c>
      <c r="I15" s="271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197"/>
      <c r="K15" s="208"/>
      <c r="L15" s="208"/>
      <c r="M15" s="208"/>
      <c r="N15" s="208"/>
      <c r="O15" s="207"/>
    </row>
    <row r="16" spans="1:15" s="210" customFormat="1" ht="11.25">
      <c r="A16" s="207"/>
      <c r="B16" s="198">
        <f t="shared" si="3"/>
        <v>43140</v>
      </c>
      <c r="C16" s="199">
        <f t="shared" si="0"/>
        <v>6</v>
      </c>
      <c r="D16" s="278">
        <v>0</v>
      </c>
      <c r="E16" s="278">
        <v>0</v>
      </c>
      <c r="F16" s="268">
        <f t="shared" si="4"/>
        <v>0</v>
      </c>
      <c r="G16" s="278"/>
      <c r="H16" s="269">
        <f t="shared" si="2"/>
        <v>0</v>
      </c>
      <c r="I16" s="271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197"/>
      <c r="K16" s="208"/>
      <c r="L16" s="208"/>
      <c r="M16" s="208"/>
      <c r="N16" s="208"/>
      <c r="O16" s="207"/>
    </row>
    <row r="17" spans="1:15" s="210" customFormat="1" ht="11.25">
      <c r="A17" s="207"/>
      <c r="B17" s="198">
        <f t="shared" si="3"/>
        <v>43141</v>
      </c>
      <c r="C17" s="199">
        <f t="shared" si="0"/>
        <v>7</v>
      </c>
      <c r="D17" s="278">
        <v>0</v>
      </c>
      <c r="E17" s="278">
        <v>0</v>
      </c>
      <c r="F17" s="268">
        <f t="shared" si="4"/>
        <v>0</v>
      </c>
      <c r="G17" s="278"/>
      <c r="H17" s="269">
        <f t="shared" si="2"/>
        <v>0</v>
      </c>
      <c r="I17" s="271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197"/>
      <c r="K17" s="208"/>
      <c r="L17" s="208"/>
      <c r="M17" s="208"/>
      <c r="N17" s="208"/>
      <c r="O17" s="207"/>
    </row>
    <row r="18" spans="1:15" s="210" customFormat="1" ht="11.25">
      <c r="A18" s="207"/>
      <c r="B18" s="198">
        <f t="shared" si="3"/>
        <v>43142</v>
      </c>
      <c r="C18" s="199">
        <f t="shared" si="0"/>
        <v>1</v>
      </c>
      <c r="D18" s="278">
        <v>0</v>
      </c>
      <c r="E18" s="278">
        <v>0</v>
      </c>
      <c r="F18" s="268">
        <f t="shared" si="4"/>
        <v>0</v>
      </c>
      <c r="G18" s="278"/>
      <c r="H18" s="269">
        <f t="shared" si="2"/>
        <v>0</v>
      </c>
      <c r="I18" s="271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197"/>
      <c r="K18" s="208"/>
      <c r="L18" s="208"/>
      <c r="M18" s="208"/>
      <c r="N18" s="208"/>
      <c r="O18" s="207"/>
    </row>
    <row r="19" spans="1:15" s="210" customFormat="1" ht="11.25">
      <c r="A19" s="207"/>
      <c r="B19" s="198">
        <f t="shared" si="3"/>
        <v>43143</v>
      </c>
      <c r="C19" s="199">
        <f t="shared" si="0"/>
        <v>2</v>
      </c>
      <c r="D19" s="278">
        <v>0</v>
      </c>
      <c r="E19" s="278">
        <v>0</v>
      </c>
      <c r="F19" s="268">
        <f t="shared" si="4"/>
        <v>0</v>
      </c>
      <c r="G19" s="278"/>
      <c r="H19" s="269">
        <f t="shared" si="2"/>
        <v>0</v>
      </c>
      <c r="I19" s="271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197"/>
      <c r="K19" s="208"/>
      <c r="L19" s="208"/>
      <c r="M19" s="208"/>
      <c r="N19" s="208"/>
      <c r="O19" s="207"/>
    </row>
    <row r="20" spans="1:15" s="210" customFormat="1" ht="11.25">
      <c r="A20" s="207"/>
      <c r="B20" s="198">
        <f t="shared" si="3"/>
        <v>43144</v>
      </c>
      <c r="C20" s="199">
        <f t="shared" si="0"/>
        <v>3</v>
      </c>
      <c r="D20" s="278">
        <v>0</v>
      </c>
      <c r="E20" s="278">
        <v>0</v>
      </c>
      <c r="F20" s="268">
        <f t="shared" si="4"/>
        <v>0</v>
      </c>
      <c r="G20" s="278"/>
      <c r="H20" s="269">
        <f t="shared" si="2"/>
        <v>0</v>
      </c>
      <c r="I20" s="271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197"/>
      <c r="K20" s="208"/>
      <c r="L20" s="208"/>
      <c r="M20" s="208"/>
      <c r="N20" s="208"/>
      <c r="O20" s="207"/>
    </row>
    <row r="21" spans="1:15" s="210" customFormat="1" ht="11.25">
      <c r="A21" s="207"/>
      <c r="B21" s="198">
        <f t="shared" si="3"/>
        <v>43145</v>
      </c>
      <c r="C21" s="199">
        <f t="shared" si="0"/>
        <v>4</v>
      </c>
      <c r="D21" s="278">
        <v>0</v>
      </c>
      <c r="E21" s="278">
        <v>0</v>
      </c>
      <c r="F21" s="268">
        <f t="shared" si="4"/>
        <v>0</v>
      </c>
      <c r="G21" s="278"/>
      <c r="H21" s="269">
        <f t="shared" si="2"/>
        <v>0</v>
      </c>
      <c r="I21" s="271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197"/>
      <c r="K21" s="208"/>
      <c r="L21" s="208"/>
      <c r="M21" s="208"/>
      <c r="N21" s="208"/>
      <c r="O21" s="207"/>
    </row>
    <row r="22" spans="1:15" s="210" customFormat="1" ht="11.25">
      <c r="A22" s="207"/>
      <c r="B22" s="198">
        <f t="shared" si="3"/>
        <v>43146</v>
      </c>
      <c r="C22" s="199">
        <f t="shared" si="0"/>
        <v>5</v>
      </c>
      <c r="D22" s="278">
        <v>0</v>
      </c>
      <c r="E22" s="278">
        <v>0</v>
      </c>
      <c r="F22" s="268">
        <f t="shared" si="4"/>
        <v>0</v>
      </c>
      <c r="G22" s="278"/>
      <c r="H22" s="269">
        <f t="shared" si="2"/>
        <v>0</v>
      </c>
      <c r="I22" s="271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197"/>
      <c r="K22" s="208"/>
      <c r="L22" s="208"/>
      <c r="M22" s="208"/>
      <c r="N22" s="208"/>
      <c r="O22" s="207"/>
    </row>
    <row r="23" spans="1:15" s="210" customFormat="1" ht="11.25">
      <c r="A23" s="207"/>
      <c r="B23" s="198">
        <f t="shared" si="3"/>
        <v>43147</v>
      </c>
      <c r="C23" s="199">
        <f t="shared" si="0"/>
        <v>6</v>
      </c>
      <c r="D23" s="278">
        <v>0</v>
      </c>
      <c r="E23" s="278">
        <v>0</v>
      </c>
      <c r="F23" s="268">
        <f t="shared" si="4"/>
        <v>0</v>
      </c>
      <c r="G23" s="278"/>
      <c r="H23" s="269">
        <f t="shared" si="2"/>
        <v>0</v>
      </c>
      <c r="I23" s="271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197"/>
      <c r="K23" s="208"/>
      <c r="L23" s="208"/>
      <c r="M23" s="208"/>
      <c r="N23" s="208"/>
      <c r="O23" s="207"/>
    </row>
    <row r="24" spans="1:15" s="210" customFormat="1" ht="11.25">
      <c r="A24" s="207"/>
      <c r="B24" s="198">
        <f t="shared" si="3"/>
        <v>43148</v>
      </c>
      <c r="C24" s="199">
        <f t="shared" si="0"/>
        <v>7</v>
      </c>
      <c r="D24" s="278">
        <v>0</v>
      </c>
      <c r="E24" s="278">
        <v>0</v>
      </c>
      <c r="F24" s="268">
        <f t="shared" si="4"/>
        <v>0</v>
      </c>
      <c r="G24" s="278"/>
      <c r="H24" s="269">
        <f t="shared" si="2"/>
        <v>0</v>
      </c>
      <c r="I24" s="271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197"/>
      <c r="K24" s="208"/>
      <c r="L24" s="208"/>
      <c r="M24" s="208"/>
      <c r="N24" s="208"/>
      <c r="O24" s="207"/>
    </row>
    <row r="25" spans="1:15" s="210" customFormat="1" ht="11.25">
      <c r="A25" s="207"/>
      <c r="B25" s="198">
        <f t="shared" si="3"/>
        <v>43149</v>
      </c>
      <c r="C25" s="199">
        <f t="shared" si="0"/>
        <v>1</v>
      </c>
      <c r="D25" s="278">
        <v>0</v>
      </c>
      <c r="E25" s="278">
        <v>0</v>
      </c>
      <c r="F25" s="268">
        <f t="shared" si="4"/>
        <v>0</v>
      </c>
      <c r="G25" s="278"/>
      <c r="H25" s="269">
        <f t="shared" si="2"/>
        <v>0</v>
      </c>
      <c r="I25" s="271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197"/>
      <c r="K25" s="208"/>
      <c r="L25" s="208"/>
      <c r="M25" s="208"/>
      <c r="N25" s="208"/>
      <c r="O25" s="207"/>
    </row>
    <row r="26" spans="1:15" s="210" customFormat="1" ht="11.25">
      <c r="A26" s="207"/>
      <c r="B26" s="198">
        <f t="shared" si="3"/>
        <v>43150</v>
      </c>
      <c r="C26" s="199">
        <f t="shared" si="0"/>
        <v>2</v>
      </c>
      <c r="D26" s="278">
        <v>0</v>
      </c>
      <c r="E26" s="278">
        <v>0</v>
      </c>
      <c r="F26" s="268">
        <f t="shared" si="4"/>
        <v>0</v>
      </c>
      <c r="G26" s="278"/>
      <c r="H26" s="269">
        <f t="shared" si="2"/>
        <v>0</v>
      </c>
      <c r="I26" s="271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197"/>
      <c r="K26" s="208"/>
      <c r="L26" s="208"/>
      <c r="M26" s="208"/>
      <c r="N26" s="208"/>
      <c r="O26" s="207"/>
    </row>
    <row r="27" spans="1:15" s="210" customFormat="1" ht="11.25">
      <c r="A27" s="207"/>
      <c r="B27" s="198">
        <f t="shared" si="3"/>
        <v>43151</v>
      </c>
      <c r="C27" s="199">
        <f t="shared" si="0"/>
        <v>3</v>
      </c>
      <c r="D27" s="278">
        <v>0</v>
      </c>
      <c r="E27" s="278">
        <v>0</v>
      </c>
      <c r="F27" s="268">
        <f t="shared" si="4"/>
        <v>0</v>
      </c>
      <c r="G27" s="278"/>
      <c r="H27" s="269">
        <f t="shared" si="2"/>
        <v>0</v>
      </c>
      <c r="I27" s="271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197"/>
      <c r="K27" s="208"/>
      <c r="L27" s="208"/>
      <c r="M27" s="208"/>
      <c r="N27" s="208"/>
      <c r="O27" s="207"/>
    </row>
    <row r="28" spans="1:15" s="210" customFormat="1" ht="11.25">
      <c r="A28" s="207"/>
      <c r="B28" s="198">
        <f t="shared" si="3"/>
        <v>43152</v>
      </c>
      <c r="C28" s="199">
        <f t="shared" si="0"/>
        <v>4</v>
      </c>
      <c r="D28" s="278">
        <v>0</v>
      </c>
      <c r="E28" s="278">
        <v>0</v>
      </c>
      <c r="F28" s="268">
        <f t="shared" si="4"/>
        <v>0</v>
      </c>
      <c r="G28" s="278"/>
      <c r="H28" s="269">
        <f t="shared" si="2"/>
        <v>0</v>
      </c>
      <c r="I28" s="271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197"/>
      <c r="K28" s="208"/>
      <c r="L28" s="208"/>
      <c r="M28" s="208"/>
      <c r="N28" s="208"/>
      <c r="O28" s="207"/>
    </row>
    <row r="29" spans="1:15" s="210" customFormat="1" ht="11.25">
      <c r="A29" s="207"/>
      <c r="B29" s="198">
        <f t="shared" si="3"/>
        <v>43153</v>
      </c>
      <c r="C29" s="199">
        <f t="shared" si="0"/>
        <v>5</v>
      </c>
      <c r="D29" s="278">
        <v>0</v>
      </c>
      <c r="E29" s="278">
        <v>0</v>
      </c>
      <c r="F29" s="268">
        <f t="shared" si="4"/>
        <v>0</v>
      </c>
      <c r="G29" s="278"/>
      <c r="H29" s="269">
        <f t="shared" si="2"/>
        <v>0</v>
      </c>
      <c r="I29" s="271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197"/>
      <c r="K29" s="208"/>
      <c r="L29" s="208"/>
      <c r="M29" s="208"/>
      <c r="N29" s="208"/>
      <c r="O29" s="207"/>
    </row>
    <row r="30" spans="1:15" s="210" customFormat="1" ht="11.25">
      <c r="A30" s="207"/>
      <c r="B30" s="198">
        <f t="shared" si="3"/>
        <v>43154</v>
      </c>
      <c r="C30" s="199">
        <f t="shared" si="0"/>
        <v>6</v>
      </c>
      <c r="D30" s="278">
        <v>0</v>
      </c>
      <c r="E30" s="278">
        <v>0</v>
      </c>
      <c r="F30" s="268">
        <f t="shared" si="4"/>
        <v>0</v>
      </c>
      <c r="G30" s="278"/>
      <c r="H30" s="269">
        <f t="shared" si="2"/>
        <v>0</v>
      </c>
      <c r="I30" s="271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197"/>
      <c r="K30" s="208"/>
      <c r="L30" s="208"/>
      <c r="M30" s="208"/>
      <c r="N30" s="208"/>
      <c r="O30" s="207"/>
    </row>
    <row r="31" spans="1:15" s="210" customFormat="1" ht="11.25">
      <c r="A31" s="207"/>
      <c r="B31" s="198">
        <f t="shared" si="3"/>
        <v>43155</v>
      </c>
      <c r="C31" s="199">
        <f t="shared" si="0"/>
        <v>7</v>
      </c>
      <c r="D31" s="278">
        <v>0</v>
      </c>
      <c r="E31" s="278">
        <v>0</v>
      </c>
      <c r="F31" s="268">
        <f t="shared" si="4"/>
        <v>0</v>
      </c>
      <c r="G31" s="278"/>
      <c r="H31" s="269">
        <f t="shared" si="2"/>
        <v>0</v>
      </c>
      <c r="I31" s="271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197"/>
      <c r="K31" s="208"/>
      <c r="L31" s="208"/>
      <c r="M31" s="208"/>
      <c r="N31" s="208"/>
      <c r="O31" s="207"/>
    </row>
    <row r="32" spans="1:15" s="210" customFormat="1" ht="11.25">
      <c r="A32" s="207"/>
      <c r="B32" s="198">
        <f t="shared" si="3"/>
        <v>43156</v>
      </c>
      <c r="C32" s="199">
        <f t="shared" si="0"/>
        <v>1</v>
      </c>
      <c r="D32" s="278">
        <v>0</v>
      </c>
      <c r="E32" s="278">
        <v>0</v>
      </c>
      <c r="F32" s="268">
        <f t="shared" si="4"/>
        <v>0</v>
      </c>
      <c r="G32" s="278"/>
      <c r="H32" s="269">
        <f t="shared" si="2"/>
        <v>0</v>
      </c>
      <c r="I32" s="271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197"/>
      <c r="K32" s="208"/>
      <c r="L32" s="208"/>
      <c r="M32" s="208"/>
      <c r="N32" s="208"/>
      <c r="O32" s="207"/>
    </row>
    <row r="33" spans="1:15" s="210" customFormat="1" ht="11.25">
      <c r="A33" s="207"/>
      <c r="B33" s="198">
        <f t="shared" si="3"/>
        <v>43157</v>
      </c>
      <c r="C33" s="199">
        <f t="shared" si="0"/>
        <v>2</v>
      </c>
      <c r="D33" s="278">
        <v>0</v>
      </c>
      <c r="E33" s="278">
        <v>0</v>
      </c>
      <c r="F33" s="268">
        <f t="shared" si="4"/>
        <v>0</v>
      </c>
      <c r="G33" s="278"/>
      <c r="H33" s="269">
        <f t="shared" si="2"/>
        <v>0</v>
      </c>
      <c r="I33" s="271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197"/>
      <c r="K33" s="208"/>
      <c r="L33" s="208"/>
      <c r="M33" s="208"/>
      <c r="N33" s="208"/>
      <c r="O33" s="207"/>
    </row>
    <row r="34" spans="1:15" s="210" customFormat="1" ht="11.25">
      <c r="A34" s="207"/>
      <c r="B34" s="198">
        <f t="shared" si="3"/>
        <v>43158</v>
      </c>
      <c r="C34" s="199">
        <f t="shared" si="0"/>
        <v>3</v>
      </c>
      <c r="D34" s="278">
        <v>0</v>
      </c>
      <c r="E34" s="278">
        <v>0</v>
      </c>
      <c r="F34" s="268">
        <f t="shared" si="4"/>
        <v>0</v>
      </c>
      <c r="G34" s="278"/>
      <c r="H34" s="269">
        <f t="shared" si="2"/>
        <v>0</v>
      </c>
      <c r="I34" s="271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197"/>
      <c r="K34" s="208"/>
      <c r="L34" s="208"/>
      <c r="M34" s="208"/>
      <c r="N34" s="208"/>
      <c r="O34" s="207"/>
    </row>
    <row r="35" spans="1:15" s="210" customFormat="1" ht="11.25">
      <c r="A35" s="207"/>
      <c r="B35" s="198">
        <f t="shared" si="3"/>
        <v>43159</v>
      </c>
      <c r="C35" s="199">
        <f t="shared" si="0"/>
        <v>4</v>
      </c>
      <c r="D35" s="278">
        <v>0</v>
      </c>
      <c r="E35" s="278">
        <v>0</v>
      </c>
      <c r="F35" s="268">
        <f>MAX(IF(B40&lt;=E35,E35-B40,"24:00"-B40+E35)-G35,0)</f>
        <v>0</v>
      </c>
      <c r="G35" s="278"/>
      <c r="H35" s="269">
        <f t="shared" si="2"/>
        <v>0</v>
      </c>
      <c r="I35" s="271">
        <f>MAX(,MIN(E35+(B40&gt;E35),MAX((Stammdaten!$H$9&gt;Stammdaten!$H$10),Stammdaten!$H$10))-MAX(B40,Stammdaten!$H$9))+MAX(,MIN(E35,MAX((Stammdaten!$H$9&gt;Stammdaten!$H$10),Stammdaten!$H$10))-MAX(,Stammdaten!$H$9))*(B40&gt;E35)+MAX(,MIN(E35+(B40&gt;E35),MIN((Stammdaten!$H$9&gt;Stammdaten!$H$10),Stammdaten!$H$10))-MAX(B40,))+MIN(E35,MIN((Stammdaten!$H$9&gt;Stammdaten!$H$10),Stammdaten!$H$10))*(B40&gt;E35)</f>
        <v>0</v>
      </c>
      <c r="J35" s="197"/>
      <c r="K35" s="208"/>
      <c r="L35" s="208"/>
      <c r="M35" s="208"/>
      <c r="N35" s="208"/>
      <c r="O35" s="207"/>
    </row>
    <row r="36" spans="1:15" s="210" customFormat="1" ht="11.25">
      <c r="A36" s="207"/>
      <c r="B36" s="198">
        <f>CHOOSE(OR(AND(MOD(gewJahr,4)=0,MOD(gewJahr,100)&lt;&gt;0),MOD(gewJahr,400)=0)+1,"",B35+1)</f>
      </c>
      <c r="C36" s="199">
        <f>CHOOSE(OR(AND(MOD(gewJahr,4)=0,MOD(gewJahr,100)&lt;&gt;0),MOD(gewJahr,400)=0)+1,"",WEEKDAY(B36))</f>
      </c>
      <c r="D36" s="278">
        <v>0</v>
      </c>
      <c r="E36" s="278">
        <v>0</v>
      </c>
      <c r="F36" s="268">
        <f>CHOOSE(OR(AND(MOD(gewJahr,4)=0,MOD(gewJahr,100)&lt;&gt;0),MOD(gewJahr,400)=0)+1,"",MAX(IF(B41&lt;=E36,E36-B41,"24:00"-B41+E36)-G36,0))</f>
      </c>
      <c r="G36" s="202"/>
      <c r="H36" s="269">
        <f>CHOOSE(OR(AND(MOD(gewJahr,4)=0,MOD(gewJahr,100)&lt;&gt;0),MOD(gewJahr,400)=0)+1,"",F36-I36)</f>
      </c>
      <c r="I36" s="271">
        <f>CHOOSE(OR(AND(MOD(gewJahr,4)=0,MOD(gewJahr,100)&lt;&gt;0),MOD(gewJahr,400)=0)+1,"",MAX(,MIN(E36+(B41&gt;E36),MAX((Stammdaten!$H$9&gt;Stammdaten!$H$10),Stammdaten!$H$10))-MAX(B41,Stammdaten!$H$9))+MAX(,MIN(E36,MAX((Stammdaten!$H$9&gt;Stammdaten!$H$10),Stammdaten!$H$10))-MAX(,Stammdaten!$H$9))*(B41&gt;E36)+MAX(,MIN(E36+(B41&gt;E36),MIN((Stammdaten!$H$9&gt;Stammdaten!$H$10),Stammdaten!$H$10))-MAX(B41,))+MIN(E36,MIN((Stammdaten!$H$9&gt;Stammdaten!$H$10),Stammdaten!$H$10))*(B41&gt;E36))</f>
      </c>
      <c r="J36" s="197"/>
      <c r="K36" s="208"/>
      <c r="L36" s="208"/>
      <c r="M36" s="208"/>
      <c r="N36" s="208"/>
      <c r="O36" s="207"/>
    </row>
    <row r="37" spans="1:15" s="210" customFormat="1" ht="11.25" customHeight="1">
      <c r="A37" s="207"/>
      <c r="B37" s="198"/>
      <c r="C37" s="302">
        <v>0</v>
      </c>
      <c r="D37" s="200">
        <v>0</v>
      </c>
      <c r="E37" s="200">
        <v>0</v>
      </c>
      <c r="F37" s="201"/>
      <c r="G37" s="202"/>
      <c r="H37" s="203"/>
      <c r="I37" s="196"/>
      <c r="J37" s="244"/>
      <c r="K37" s="208"/>
      <c r="L37" s="208"/>
      <c r="M37" s="208"/>
      <c r="N37" s="208"/>
      <c r="O37" s="207"/>
    </row>
    <row r="38" spans="1:15" s="210" customFormat="1" ht="12" customHeight="1">
      <c r="A38" s="207"/>
      <c r="B38" s="198"/>
      <c r="C38" s="302">
        <v>0</v>
      </c>
      <c r="D38" s="200">
        <v>0</v>
      </c>
      <c r="E38" s="200">
        <v>0</v>
      </c>
      <c r="F38" s="201"/>
      <c r="G38" s="202"/>
      <c r="H38" s="203"/>
      <c r="I38" s="196"/>
      <c r="J38" s="244"/>
      <c r="K38" s="208"/>
      <c r="L38" s="208"/>
      <c r="M38" s="208"/>
      <c r="N38" s="208"/>
      <c r="O38" s="207"/>
    </row>
    <row r="39" spans="1:15" s="210" customFormat="1" ht="12" customHeight="1">
      <c r="A39" s="211"/>
      <c r="B39" s="188"/>
      <c r="C39" s="188"/>
      <c r="D39" s="577" t="s">
        <v>88</v>
      </c>
      <c r="E39" s="578"/>
      <c r="F39" s="270">
        <f>SUM(F7:F38)</f>
        <v>0</v>
      </c>
      <c r="G39" s="281"/>
      <c r="H39" s="270">
        <f>SUM(H8:H38)</f>
        <v>0</v>
      </c>
      <c r="I39" s="272">
        <f>SUM(I8:I38)</f>
        <v>0</v>
      </c>
      <c r="J39" s="244"/>
      <c r="K39" s="208"/>
      <c r="L39" s="208"/>
      <c r="M39" s="208"/>
      <c r="N39" s="208"/>
      <c r="O39" s="207"/>
    </row>
    <row r="40" spans="1:15" s="210" customFormat="1" ht="11.25">
      <c r="A40" s="211"/>
      <c r="B40" s="188"/>
      <c r="C40" s="657" t="s">
        <v>318</v>
      </c>
      <c r="D40" s="657"/>
      <c r="E40" s="658"/>
      <c r="F40" s="576">
        <f>SUM(H39,PRODUCT(SUM(J40,J42,J43),Stammdaten!H28))</f>
        <v>0</v>
      </c>
      <c r="G40" s="664" t="s">
        <v>90</v>
      </c>
      <c r="H40" s="665"/>
      <c r="I40" s="666"/>
      <c r="J40" s="204">
        <f>COUNTIF(J8:J38,"u")</f>
        <v>0</v>
      </c>
      <c r="K40" s="208"/>
      <c r="L40" s="208"/>
      <c r="M40" s="208"/>
      <c r="N40" s="208"/>
      <c r="O40" s="207"/>
    </row>
    <row r="41" spans="1:15" s="210" customFormat="1" ht="11.25">
      <c r="A41" s="211"/>
      <c r="B41" s="188"/>
      <c r="C41" s="659" t="s">
        <v>117</v>
      </c>
      <c r="D41" s="659"/>
      <c r="E41" s="660"/>
      <c r="F41" s="282">
        <v>0</v>
      </c>
      <c r="G41" s="650" t="s">
        <v>115</v>
      </c>
      <c r="H41" s="651"/>
      <c r="I41" s="652"/>
      <c r="J41" s="205">
        <f>Jan!J41-J40</f>
        <v>25</v>
      </c>
      <c r="K41" s="193"/>
      <c r="L41" s="212"/>
      <c r="M41" s="197">
        <f>COUNTIF(M8:M38,"k")</f>
        <v>0</v>
      </c>
      <c r="N41" s="208"/>
      <c r="O41" s="207"/>
    </row>
    <row r="42" spans="1:15" s="210" customFormat="1" ht="11.25">
      <c r="A42" s="211"/>
      <c r="B42" s="188"/>
      <c r="C42" s="615" t="s">
        <v>121</v>
      </c>
      <c r="D42" s="615"/>
      <c r="E42" s="661"/>
      <c r="F42" s="283">
        <v>0</v>
      </c>
      <c r="G42" s="664" t="s">
        <v>91</v>
      </c>
      <c r="H42" s="665"/>
      <c r="I42" s="666"/>
      <c r="J42" s="206">
        <f>COUNTIF(J8:J38,"k")</f>
        <v>0</v>
      </c>
      <c r="K42" s="208"/>
      <c r="L42" s="208"/>
      <c r="M42" s="208"/>
      <c r="N42" s="208"/>
      <c r="O42" s="207"/>
    </row>
    <row r="43" spans="1:15" s="210" customFormat="1" ht="11.25">
      <c r="A43" s="211"/>
      <c r="B43" s="188"/>
      <c r="C43" s="662" t="s">
        <v>122</v>
      </c>
      <c r="D43" s="662"/>
      <c r="E43" s="663"/>
      <c r="F43" s="284">
        <v>0</v>
      </c>
      <c r="G43" s="664" t="s">
        <v>116</v>
      </c>
      <c r="H43" s="640"/>
      <c r="I43" s="640"/>
      <c r="J43" s="197">
        <f>COUNTIF(J8:J38,"nu")</f>
        <v>0</v>
      </c>
      <c r="K43" s="208"/>
      <c r="L43" s="208"/>
      <c r="M43" s="208"/>
      <c r="N43" s="208"/>
      <c r="O43" s="207"/>
    </row>
    <row r="44" spans="1:15" s="210" customFormat="1" ht="12.75">
      <c r="A44" s="211"/>
      <c r="B44" s="188"/>
      <c r="C44" s="615" t="str">
        <f>Stammdaten!$F$23</f>
        <v>Sonderschicht I</v>
      </c>
      <c r="D44" s="615"/>
      <c r="E44" s="661"/>
      <c r="F44" s="283">
        <v>0</v>
      </c>
      <c r="H44" s="81"/>
      <c r="I44" s="5"/>
      <c r="J44" s="5"/>
      <c r="K44" s="208"/>
      <c r="L44" s="208"/>
      <c r="M44" s="208"/>
      <c r="N44" s="208"/>
      <c r="O44" s="207"/>
    </row>
    <row r="45" spans="1:14" ht="11.25" customHeight="1">
      <c r="A45" s="165"/>
      <c r="B45" s="188"/>
      <c r="C45" s="615" t="str">
        <f>Stammdaten!$G$24</f>
        <v>Sonderschicht II</v>
      </c>
      <c r="D45" s="615"/>
      <c r="E45" s="661"/>
      <c r="F45" s="283">
        <v>0</v>
      </c>
      <c r="G45" s="193"/>
      <c r="H45" s="485"/>
      <c r="I45" s="492"/>
      <c r="J45" s="211"/>
      <c r="K45" s="77"/>
      <c r="L45" s="65"/>
      <c r="M45" s="65"/>
      <c r="N45" s="65"/>
    </row>
    <row r="46" spans="2:12" ht="12.75">
      <c r="B46" s="182"/>
      <c r="C46" s="653" t="s">
        <v>183</v>
      </c>
      <c r="D46" s="653"/>
      <c r="E46" s="654"/>
      <c r="F46" s="274">
        <f>$I$39</f>
        <v>0</v>
      </c>
      <c r="G46" s="183"/>
      <c r="H46" s="81"/>
      <c r="I46" s="5"/>
      <c r="J46" s="5"/>
      <c r="K46" s="5"/>
      <c r="L46" s="4"/>
    </row>
    <row r="47" spans="2:14" ht="12.75">
      <c r="B47" s="182"/>
      <c r="C47" s="655" t="s">
        <v>33</v>
      </c>
      <c r="D47" s="655"/>
      <c r="E47" s="656"/>
      <c r="F47" s="580">
        <f>Arbeitszeitübersicht!D8/24</f>
        <v>0.4791666666666667</v>
      </c>
      <c r="G47" s="222"/>
      <c r="H47" s="81"/>
      <c r="I47" s="5"/>
      <c r="J47" s="5"/>
      <c r="K47" s="11"/>
      <c r="L47" s="5"/>
      <c r="N47" s="101"/>
    </row>
    <row r="48" spans="2:14" ht="12.75">
      <c r="B48" s="182"/>
      <c r="C48" s="581"/>
      <c r="D48" s="581"/>
      <c r="E48" s="581"/>
      <c r="F48" s="582"/>
      <c r="G48" s="222"/>
      <c r="H48" s="81"/>
      <c r="I48" s="5"/>
      <c r="J48" s="5"/>
      <c r="K48" s="11"/>
      <c r="L48" s="5"/>
      <c r="N48" s="101"/>
    </row>
    <row r="49" spans="2:12" ht="12.75">
      <c r="B49" s="4"/>
      <c r="C49" s="665"/>
      <c r="D49" s="665"/>
      <c r="E49" s="459" t="s">
        <v>251</v>
      </c>
      <c r="F49" s="460"/>
      <c r="G49" s="457"/>
      <c r="H49" s="458"/>
      <c r="I49" s="457"/>
      <c r="J49" s="457"/>
      <c r="K49" s="5"/>
      <c r="L49" s="4"/>
    </row>
    <row r="50" spans="2:13" ht="12.75">
      <c r="B50" s="4"/>
      <c r="C50" s="11"/>
      <c r="D50" s="669"/>
      <c r="E50" s="669"/>
      <c r="F50" s="669"/>
      <c r="G50" s="5"/>
      <c r="H50" s="103"/>
      <c r="I50" s="11"/>
      <c r="J50" s="5"/>
      <c r="K50" s="5"/>
      <c r="L50" s="4"/>
      <c r="M50" s="101"/>
    </row>
    <row r="51" spans="2:14" ht="12.75">
      <c r="B51" s="4"/>
      <c r="C51" s="5"/>
      <c r="D51" s="13"/>
      <c r="E51" s="669"/>
      <c r="F51" s="670"/>
      <c r="G51" s="670"/>
      <c r="H51" s="100"/>
      <c r="I51" s="100"/>
      <c r="J51" s="5"/>
      <c r="K51" s="5"/>
      <c r="L51" s="4"/>
      <c r="M51" s="101"/>
      <c r="N51" s="101"/>
    </row>
    <row r="52" spans="2:14" ht="12.75">
      <c r="B52" s="4"/>
      <c r="C52" s="4"/>
      <c r="D52" s="5"/>
      <c r="E52" s="669"/>
      <c r="F52" s="670"/>
      <c r="G52" s="670"/>
      <c r="H52" s="81"/>
      <c r="I52" s="5"/>
      <c r="J52" s="5"/>
      <c r="K52" s="5"/>
      <c r="L52" s="4"/>
      <c r="N52" s="101"/>
    </row>
    <row r="53" spans="2:12" ht="12.75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3:12" ht="15.75" customHeight="1" hidden="1"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9">
    <mergeCell ref="C43:E43"/>
    <mergeCell ref="C44:E44"/>
    <mergeCell ref="C45:E45"/>
    <mergeCell ref="D50:F50"/>
    <mergeCell ref="E51:G51"/>
    <mergeCell ref="E52:G52"/>
    <mergeCell ref="C49:D49"/>
    <mergeCell ref="C46:E46"/>
    <mergeCell ref="C47:E47"/>
    <mergeCell ref="B7:C7"/>
    <mergeCell ref="B4:C4"/>
    <mergeCell ref="J2:J6"/>
    <mergeCell ref="G43:I43"/>
    <mergeCell ref="G40:I40"/>
    <mergeCell ref="G41:I41"/>
    <mergeCell ref="G42:I42"/>
    <mergeCell ref="C40:E40"/>
    <mergeCell ref="C41:E41"/>
    <mergeCell ref="C42:E42"/>
  </mergeCells>
  <conditionalFormatting sqref="B8">
    <cfRule type="expression" priority="21" dxfId="194" stopIfTrue="1">
      <formula>WEEKDAY($B8)=1</formula>
    </cfRule>
    <cfRule type="expression" priority="22" dxfId="1" stopIfTrue="1">
      <formula>WEEKDAY($B8)=7</formula>
    </cfRule>
  </conditionalFormatting>
  <conditionalFormatting sqref="B10:B12 B14:B38 H8:I38 F8:F38">
    <cfRule type="expression" priority="23" dxfId="0" stopIfTrue="1">
      <formula>WEEKDAY($B8)=1</formula>
    </cfRule>
    <cfRule type="expression" priority="24" dxfId="1" stopIfTrue="1">
      <formula>WEEKDAY($B8)=7</formula>
    </cfRule>
  </conditionalFormatting>
  <conditionalFormatting sqref="G14:G38 G8:G12 C8:E12 C14:C38 D37:D38 E13:E38 D13:D34">
    <cfRule type="expression" priority="25" dxfId="0" stopIfTrue="1">
      <formula>WEEKDAY($B8)=1</formula>
    </cfRule>
    <cfRule type="expression" priority="26" dxfId="1" stopIfTrue="1">
      <formula>WEEKDAY($B8)=7</formula>
    </cfRule>
  </conditionalFormatting>
  <conditionalFormatting sqref="C13">
    <cfRule type="expression" priority="27" dxfId="29" stopIfTrue="1">
      <formula>C5=1</formula>
    </cfRule>
    <cfRule type="expression" priority="28" dxfId="1" stopIfTrue="1">
      <formula>WEEKDAY($B13)=7</formula>
    </cfRule>
    <cfRule type="expression" priority="29" dxfId="0" stopIfTrue="1">
      <formula>WEEKDAY($B13)=1</formula>
    </cfRule>
  </conditionalFormatting>
  <conditionalFormatting sqref="G13">
    <cfRule type="expression" priority="30" dxfId="29" stopIfTrue="1">
      <formula>C5=1</formula>
    </cfRule>
    <cfRule type="expression" priority="31" dxfId="1" stopIfTrue="1">
      <formula>WEEKDAY($B13)=7</formula>
    </cfRule>
    <cfRule type="expression" priority="32" dxfId="0" stopIfTrue="1">
      <formula>C5=1</formula>
    </cfRule>
  </conditionalFormatting>
  <conditionalFormatting sqref="B13">
    <cfRule type="expression" priority="33" dxfId="29" stopIfTrue="1">
      <formula>C5=1</formula>
    </cfRule>
    <cfRule type="expression" priority="34" dxfId="1" stopIfTrue="1">
      <formula>WEEKDAY($B13)=7</formula>
    </cfRule>
    <cfRule type="expression" priority="35" dxfId="0" stopIfTrue="1">
      <formula>WEEKDAY($B13)=1</formula>
    </cfRule>
  </conditionalFormatting>
  <conditionalFormatting sqref="B9">
    <cfRule type="expression" priority="36" dxfId="194" stopIfTrue="1">
      <formula>WEEKDAY($B9)=1</formula>
    </cfRule>
    <cfRule type="expression" priority="37" dxfId="1" stopIfTrue="1">
      <formula>WEEKDAY($B9)=7</formula>
    </cfRule>
  </conditionalFormatting>
  <conditionalFormatting sqref="D35">
    <cfRule type="expression" priority="19" dxfId="0" stopIfTrue="1">
      <formula>WEEKDAY($B35)=1</formula>
    </cfRule>
    <cfRule type="expression" priority="20" dxfId="1" stopIfTrue="1">
      <formula>WEEKDAY($B35)=7</formula>
    </cfRule>
  </conditionalFormatting>
  <conditionalFormatting sqref="D35">
    <cfRule type="expression" priority="17" dxfId="0" stopIfTrue="1">
      <formula>WEEKDAY($B35)=1</formula>
    </cfRule>
    <cfRule type="expression" priority="18" dxfId="1" stopIfTrue="1">
      <formula>WEEKDAY($B35)=7</formula>
    </cfRule>
  </conditionalFormatting>
  <conditionalFormatting sqref="D36">
    <cfRule type="expression" priority="15" dxfId="0" stopIfTrue="1">
      <formula>WEEKDAY($B36)=1</formula>
    </cfRule>
    <cfRule type="expression" priority="16" dxfId="1" stopIfTrue="1">
      <formula>WEEKDAY($B36)=7</formula>
    </cfRule>
  </conditionalFormatting>
  <conditionalFormatting sqref="D36">
    <cfRule type="expression" priority="13" dxfId="0" stopIfTrue="1">
      <formula>WEEKDAY($B36)=1</formula>
    </cfRule>
    <cfRule type="expression" priority="14" dxfId="1" stopIfTrue="1">
      <formula>WEEKDAY($B36)=7</formula>
    </cfRule>
  </conditionalFormatting>
  <conditionalFormatting sqref="D36:E36">
    <cfRule type="expression" priority="11" dxfId="0" stopIfTrue="1">
      <formula>WEEKDAY($B36)=1</formula>
    </cfRule>
    <cfRule type="expression" priority="12" dxfId="1" stopIfTrue="1">
      <formula>WEEKDAY($B36)=7</formula>
    </cfRule>
  </conditionalFormatting>
  <conditionalFormatting sqref="D36:E36">
    <cfRule type="expression" priority="9" dxfId="0" stopIfTrue="1">
      <formula>WEEKDAY($B36)=1</formula>
    </cfRule>
    <cfRule type="expression" priority="10" dxfId="1" stopIfTrue="1">
      <formula>WEEKDAY($B36)=7</formula>
    </cfRule>
  </conditionalFormatting>
  <conditionalFormatting sqref="D36:E36 E35">
    <cfRule type="expression" priority="7" dxfId="0" stopIfTrue="1">
      <formula>WEEKDAY($B35)=1</formula>
    </cfRule>
    <cfRule type="expression" priority="8" dxfId="1" stopIfTrue="1">
      <formula>WEEKDAY($B35)=7</formula>
    </cfRule>
  </conditionalFormatting>
  <conditionalFormatting sqref="D36:E36 E35">
    <cfRule type="expression" priority="5" dxfId="0" stopIfTrue="1">
      <formula>WEEKDAY($B35)=1</formula>
    </cfRule>
    <cfRule type="expression" priority="6" dxfId="1" stopIfTrue="1">
      <formula>WEEKDAY($B35)=7</formula>
    </cfRule>
  </conditionalFormatting>
  <conditionalFormatting sqref="D36:E36 E35">
    <cfRule type="expression" priority="3" dxfId="0" stopIfTrue="1">
      <formula>WEEKDAY($B35)=1</formula>
    </cfRule>
    <cfRule type="expression" priority="4" dxfId="1" stopIfTrue="1">
      <formula>WEEKDAY($B35)=7</formula>
    </cfRule>
  </conditionalFormatting>
  <conditionalFormatting sqref="D36:E36 E35">
    <cfRule type="expression" priority="1" dxfId="0" stopIfTrue="1">
      <formula>WEEKDAY($B35)=1</formula>
    </cfRule>
    <cfRule type="expression" priority="2" dxfId="1" stopIfTrue="1">
      <formula>WEEKDAY($B35)=7</formula>
    </cfRule>
  </conditionalFormatting>
  <dataValidations count="1">
    <dataValidation type="list" allowBlank="1" showInputMessage="1" showErrorMessage="1" sqref="J8:J36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1"/>
  <dimension ref="A1:O60"/>
  <sheetViews>
    <sheetView defaultGridColor="0" zoomScalePageLayoutView="0" colorId="22" workbookViewId="0" topLeftCell="A1">
      <selection activeCell="F40" sqref="F40"/>
    </sheetView>
  </sheetViews>
  <sheetFormatPr defaultColWidth="0" defaultRowHeight="15.75" customHeight="1" zeroHeight="1"/>
  <cols>
    <col min="1" max="1" width="3.57421875" style="4" customWidth="1"/>
    <col min="2" max="2" width="7.140625" style="0" customWidth="1"/>
    <col min="3" max="3" width="3.7109375" style="0" customWidth="1"/>
    <col min="4" max="5" width="7.71093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71093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3"/>
      <c r="L1" s="14"/>
      <c r="M1" s="14"/>
      <c r="N1" s="14"/>
    </row>
    <row r="2" spans="2:14" ht="15">
      <c r="B2" s="446" t="str">
        <f>"Arbeitszeitachweis März "&amp;gewJahr</f>
        <v>Arbeitszeitachweis März 2018</v>
      </c>
      <c r="C2" s="447"/>
      <c r="D2" s="447"/>
      <c r="E2" s="447"/>
      <c r="F2" s="447"/>
      <c r="G2" s="446"/>
      <c r="H2" s="446"/>
      <c r="I2" s="446"/>
      <c r="J2" s="667" t="s">
        <v>92</v>
      </c>
      <c r="K2" s="13"/>
      <c r="L2" s="63"/>
      <c r="M2" s="14"/>
      <c r="N2" s="14"/>
    </row>
    <row r="3" spans="2:14" ht="13.5" customHeight="1">
      <c r="B3" s="484" t="s">
        <v>124</v>
      </c>
      <c r="C3" s="456" t="str">
        <f>Stammdaten!$B$6</f>
        <v>Mustermann, Hans</v>
      </c>
      <c r="D3" s="449"/>
      <c r="E3" s="449"/>
      <c r="F3" s="450"/>
      <c r="G3" s="450"/>
      <c r="H3" s="445"/>
      <c r="I3" s="451"/>
      <c r="J3" s="643"/>
      <c r="K3" s="14"/>
      <c r="L3" s="13"/>
      <c r="M3" s="13"/>
      <c r="N3" s="13"/>
    </row>
    <row r="4" spans="2:14" ht="17.25" customHeight="1" hidden="1">
      <c r="B4" s="671"/>
      <c r="C4" s="671"/>
      <c r="D4" s="448"/>
      <c r="E4" s="449"/>
      <c r="F4" s="449"/>
      <c r="G4" s="450"/>
      <c r="H4" s="14"/>
      <c r="I4" s="14"/>
      <c r="J4" s="643"/>
      <c r="K4" s="4"/>
      <c r="L4" s="14"/>
      <c r="M4" s="14"/>
      <c r="N4" s="14"/>
    </row>
    <row r="5" spans="2:12" ht="17.25" customHeight="1" hidden="1">
      <c r="B5" s="4"/>
      <c r="C5" s="66"/>
      <c r="D5" s="4"/>
      <c r="E5" s="4"/>
      <c r="F5" s="4"/>
      <c r="H5" s="4"/>
      <c r="I5" s="4"/>
      <c r="J5" s="643"/>
      <c r="K5" s="5"/>
      <c r="L5" s="4"/>
    </row>
    <row r="6" spans="2:14" ht="17.25" customHeight="1">
      <c r="B6" s="43"/>
      <c r="C6" s="43"/>
      <c r="D6" s="43"/>
      <c r="E6" s="43"/>
      <c r="F6" s="43"/>
      <c r="G6" s="43"/>
      <c r="H6" s="43"/>
      <c r="I6" s="43"/>
      <c r="J6" s="668"/>
      <c r="K6" s="78"/>
      <c r="L6" s="5"/>
      <c r="M6" s="5"/>
      <c r="N6" s="5"/>
    </row>
    <row r="7" spans="1:15" s="210" customFormat="1" ht="24.75" customHeight="1">
      <c r="A7" s="207"/>
      <c r="B7" s="648" t="s">
        <v>38</v>
      </c>
      <c r="C7" s="649"/>
      <c r="D7" s="453" t="s">
        <v>247</v>
      </c>
      <c r="E7" s="454" t="s">
        <v>248</v>
      </c>
      <c r="F7" s="455" t="s">
        <v>249</v>
      </c>
      <c r="G7" s="455" t="s">
        <v>250</v>
      </c>
      <c r="H7" s="177" t="s">
        <v>65</v>
      </c>
      <c r="I7" s="178" t="s">
        <v>39</v>
      </c>
      <c r="J7" s="179" t="s">
        <v>89</v>
      </c>
      <c r="K7" s="209"/>
      <c r="L7" s="213"/>
      <c r="M7" s="213"/>
      <c r="N7" s="213"/>
      <c r="O7" s="207"/>
    </row>
    <row r="8" spans="1:15" s="210" customFormat="1" ht="11.25">
      <c r="A8" s="207"/>
      <c r="B8" s="198">
        <f>DATE(gewJahr,3,1)</f>
        <v>43160</v>
      </c>
      <c r="C8" s="199">
        <f aca="true" t="shared" si="0" ref="C8:C38">WEEKDAY(B8)</f>
        <v>5</v>
      </c>
      <c r="D8" s="200">
        <v>0</v>
      </c>
      <c r="E8" s="200">
        <v>0</v>
      </c>
      <c r="F8" s="268">
        <f aca="true" t="shared" si="1" ref="F8:F13">MAX(IF(D8&lt;=E8,E8-D8,"24:00"-D8+E8)-G8,0)</f>
        <v>0</v>
      </c>
      <c r="G8" s="278"/>
      <c r="H8" s="269">
        <f>IF(F8-I8&gt;0,F8-I8,0)</f>
        <v>0</v>
      </c>
      <c r="I8" s="271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197"/>
      <c r="K8" s="208"/>
      <c r="L8" s="209"/>
      <c r="M8" s="209"/>
      <c r="N8" s="209"/>
      <c r="O8" s="207"/>
    </row>
    <row r="9" spans="1:15" s="210" customFormat="1" ht="11.25">
      <c r="A9" s="207"/>
      <c r="B9" s="198">
        <f>B8+1</f>
        <v>43161</v>
      </c>
      <c r="C9" s="199">
        <f t="shared" si="0"/>
        <v>6</v>
      </c>
      <c r="D9" s="200">
        <v>0</v>
      </c>
      <c r="E9" s="200">
        <v>0</v>
      </c>
      <c r="F9" s="268">
        <f t="shared" si="1"/>
        <v>0</v>
      </c>
      <c r="G9" s="278"/>
      <c r="H9" s="269">
        <f aca="true" t="shared" si="2" ref="H9:H28">IF(F9-I9&gt;0,F9-I9,0)</f>
        <v>0</v>
      </c>
      <c r="I9" s="271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197"/>
      <c r="K9" s="208"/>
      <c r="L9" s="208"/>
      <c r="M9" s="208"/>
      <c r="N9" s="208"/>
      <c r="O9" s="207"/>
    </row>
    <row r="10" spans="1:15" s="210" customFormat="1" ht="11.25">
      <c r="A10" s="207"/>
      <c r="B10" s="198">
        <f aca="true" t="shared" si="3" ref="B10:B38">B9+1</f>
        <v>43162</v>
      </c>
      <c r="C10" s="199">
        <f t="shared" si="0"/>
        <v>7</v>
      </c>
      <c r="D10" s="200">
        <v>0</v>
      </c>
      <c r="E10" s="200">
        <v>0</v>
      </c>
      <c r="F10" s="268">
        <f t="shared" si="1"/>
        <v>0</v>
      </c>
      <c r="G10" s="278"/>
      <c r="H10" s="269">
        <f t="shared" si="2"/>
        <v>0</v>
      </c>
      <c r="I10" s="271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197"/>
      <c r="K10" s="208"/>
      <c r="L10" s="208"/>
      <c r="M10" s="208"/>
      <c r="N10" s="208"/>
      <c r="O10" s="207"/>
    </row>
    <row r="11" spans="1:15" s="210" customFormat="1" ht="11.25">
      <c r="A11" s="207"/>
      <c r="B11" s="198">
        <f t="shared" si="3"/>
        <v>43163</v>
      </c>
      <c r="C11" s="199">
        <f t="shared" si="0"/>
        <v>1</v>
      </c>
      <c r="D11" s="200">
        <v>0</v>
      </c>
      <c r="E11" s="200">
        <v>0</v>
      </c>
      <c r="F11" s="268">
        <f t="shared" si="1"/>
        <v>0</v>
      </c>
      <c r="G11" s="278"/>
      <c r="H11" s="269">
        <f t="shared" si="2"/>
        <v>0</v>
      </c>
      <c r="I11" s="271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197"/>
      <c r="K11" s="208"/>
      <c r="L11" s="208"/>
      <c r="M11" s="208"/>
      <c r="N11" s="208"/>
      <c r="O11" s="207"/>
    </row>
    <row r="12" spans="1:15" s="210" customFormat="1" ht="11.25">
      <c r="A12" s="207"/>
      <c r="B12" s="198">
        <f t="shared" si="3"/>
        <v>43164</v>
      </c>
      <c r="C12" s="199">
        <f t="shared" si="0"/>
        <v>2</v>
      </c>
      <c r="D12" s="200">
        <v>0</v>
      </c>
      <c r="E12" s="200">
        <v>0</v>
      </c>
      <c r="F12" s="268">
        <f t="shared" si="1"/>
        <v>0</v>
      </c>
      <c r="G12" s="278"/>
      <c r="H12" s="269">
        <f t="shared" si="2"/>
        <v>0</v>
      </c>
      <c r="I12" s="271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197"/>
      <c r="K12" s="209"/>
      <c r="L12" s="208"/>
      <c r="M12" s="208"/>
      <c r="N12" s="208"/>
      <c r="O12" s="207"/>
    </row>
    <row r="13" spans="1:15" s="210" customFormat="1" ht="11.25">
      <c r="A13" s="207"/>
      <c r="B13" s="198">
        <f t="shared" si="3"/>
        <v>43165</v>
      </c>
      <c r="C13" s="214">
        <f t="shared" si="0"/>
        <v>3</v>
      </c>
      <c r="D13" s="200">
        <v>0</v>
      </c>
      <c r="E13" s="200">
        <v>0</v>
      </c>
      <c r="F13" s="268">
        <f t="shared" si="1"/>
        <v>0</v>
      </c>
      <c r="G13" s="278"/>
      <c r="H13" s="269">
        <f t="shared" si="2"/>
        <v>0</v>
      </c>
      <c r="I13" s="271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197"/>
      <c r="K13" s="208"/>
      <c r="L13" s="209"/>
      <c r="M13" s="208"/>
      <c r="N13" s="208"/>
      <c r="O13" s="207"/>
    </row>
    <row r="14" spans="1:15" s="210" customFormat="1" ht="11.25">
      <c r="A14" s="207"/>
      <c r="B14" s="198">
        <f t="shared" si="3"/>
        <v>43166</v>
      </c>
      <c r="C14" s="199">
        <f t="shared" si="0"/>
        <v>4</v>
      </c>
      <c r="D14" s="200">
        <v>0</v>
      </c>
      <c r="E14" s="200">
        <v>0</v>
      </c>
      <c r="F14" s="268">
        <f aca="true" t="shared" si="4" ref="F14:F38">MAX(IF(D14&lt;=E14,E14-D14,"24:00"-D14+E14)-G14,0)</f>
        <v>0</v>
      </c>
      <c r="G14" s="278"/>
      <c r="H14" s="269">
        <f t="shared" si="2"/>
        <v>0</v>
      </c>
      <c r="I14" s="271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197"/>
      <c r="K14" s="208"/>
      <c r="L14" s="208"/>
      <c r="M14" s="208"/>
      <c r="N14" s="208"/>
      <c r="O14" s="207"/>
    </row>
    <row r="15" spans="1:15" s="210" customFormat="1" ht="11.25">
      <c r="A15" s="207"/>
      <c r="B15" s="198">
        <f t="shared" si="3"/>
        <v>43167</v>
      </c>
      <c r="C15" s="199">
        <f t="shared" si="0"/>
        <v>5</v>
      </c>
      <c r="D15" s="200">
        <v>0</v>
      </c>
      <c r="E15" s="200">
        <v>0</v>
      </c>
      <c r="F15" s="268">
        <f t="shared" si="4"/>
        <v>0</v>
      </c>
      <c r="G15" s="278"/>
      <c r="H15" s="269">
        <f t="shared" si="2"/>
        <v>0</v>
      </c>
      <c r="I15" s="271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197"/>
      <c r="K15" s="208"/>
      <c r="L15" s="208"/>
      <c r="M15" s="208"/>
      <c r="N15" s="208"/>
      <c r="O15" s="207"/>
    </row>
    <row r="16" spans="1:15" s="210" customFormat="1" ht="11.25">
      <c r="A16" s="207"/>
      <c r="B16" s="198">
        <f t="shared" si="3"/>
        <v>43168</v>
      </c>
      <c r="C16" s="199">
        <f t="shared" si="0"/>
        <v>6</v>
      </c>
      <c r="D16" s="200">
        <v>0</v>
      </c>
      <c r="E16" s="200">
        <v>0</v>
      </c>
      <c r="F16" s="268">
        <f t="shared" si="4"/>
        <v>0</v>
      </c>
      <c r="G16" s="278"/>
      <c r="H16" s="269">
        <f t="shared" si="2"/>
        <v>0</v>
      </c>
      <c r="I16" s="271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197"/>
      <c r="K16" s="208"/>
      <c r="L16" s="208"/>
      <c r="M16" s="208"/>
      <c r="N16" s="208"/>
      <c r="O16" s="207"/>
    </row>
    <row r="17" spans="1:15" s="210" customFormat="1" ht="11.25">
      <c r="A17" s="207"/>
      <c r="B17" s="198">
        <f t="shared" si="3"/>
        <v>43169</v>
      </c>
      <c r="C17" s="199">
        <f t="shared" si="0"/>
        <v>7</v>
      </c>
      <c r="D17" s="200">
        <v>0</v>
      </c>
      <c r="E17" s="200">
        <v>0</v>
      </c>
      <c r="F17" s="268">
        <f t="shared" si="4"/>
        <v>0</v>
      </c>
      <c r="G17" s="278"/>
      <c r="H17" s="269">
        <f t="shared" si="2"/>
        <v>0</v>
      </c>
      <c r="I17" s="271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197"/>
      <c r="K17" s="208"/>
      <c r="L17" s="208"/>
      <c r="M17" s="208"/>
      <c r="N17" s="208"/>
      <c r="O17" s="207"/>
    </row>
    <row r="18" spans="1:15" s="210" customFormat="1" ht="11.25">
      <c r="A18" s="207"/>
      <c r="B18" s="198">
        <f t="shared" si="3"/>
        <v>43170</v>
      </c>
      <c r="C18" s="199">
        <f t="shared" si="0"/>
        <v>1</v>
      </c>
      <c r="D18" s="200">
        <v>0</v>
      </c>
      <c r="E18" s="200">
        <v>0</v>
      </c>
      <c r="F18" s="268">
        <f t="shared" si="4"/>
        <v>0</v>
      </c>
      <c r="G18" s="278"/>
      <c r="H18" s="269">
        <f t="shared" si="2"/>
        <v>0</v>
      </c>
      <c r="I18" s="271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197"/>
      <c r="K18" s="208"/>
      <c r="L18" s="208"/>
      <c r="M18" s="208"/>
      <c r="N18" s="208"/>
      <c r="O18" s="207"/>
    </row>
    <row r="19" spans="1:15" s="210" customFormat="1" ht="11.25">
      <c r="A19" s="207"/>
      <c r="B19" s="198">
        <f t="shared" si="3"/>
        <v>43171</v>
      </c>
      <c r="C19" s="199">
        <f t="shared" si="0"/>
        <v>2</v>
      </c>
      <c r="D19" s="200">
        <v>0</v>
      </c>
      <c r="E19" s="200">
        <v>0</v>
      </c>
      <c r="F19" s="268">
        <f t="shared" si="4"/>
        <v>0</v>
      </c>
      <c r="G19" s="278"/>
      <c r="H19" s="269">
        <f t="shared" si="2"/>
        <v>0</v>
      </c>
      <c r="I19" s="271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197"/>
      <c r="K19" s="208"/>
      <c r="L19" s="208"/>
      <c r="M19" s="208"/>
      <c r="N19" s="208"/>
      <c r="O19" s="207"/>
    </row>
    <row r="20" spans="1:15" s="210" customFormat="1" ht="11.25">
      <c r="A20" s="207"/>
      <c r="B20" s="198">
        <f t="shared" si="3"/>
        <v>43172</v>
      </c>
      <c r="C20" s="199">
        <f t="shared" si="0"/>
        <v>3</v>
      </c>
      <c r="D20" s="200">
        <v>0</v>
      </c>
      <c r="E20" s="200">
        <v>0</v>
      </c>
      <c r="F20" s="268">
        <f t="shared" si="4"/>
        <v>0</v>
      </c>
      <c r="G20" s="278"/>
      <c r="H20" s="269">
        <f t="shared" si="2"/>
        <v>0</v>
      </c>
      <c r="I20" s="271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197"/>
      <c r="K20" s="208"/>
      <c r="L20" s="208"/>
      <c r="M20" s="208"/>
      <c r="N20" s="208"/>
      <c r="O20" s="207"/>
    </row>
    <row r="21" spans="1:15" s="210" customFormat="1" ht="11.25">
      <c r="A21" s="207"/>
      <c r="B21" s="198">
        <f t="shared" si="3"/>
        <v>43173</v>
      </c>
      <c r="C21" s="199">
        <f t="shared" si="0"/>
        <v>4</v>
      </c>
      <c r="D21" s="200">
        <v>0</v>
      </c>
      <c r="E21" s="200">
        <v>0</v>
      </c>
      <c r="F21" s="268">
        <f t="shared" si="4"/>
        <v>0</v>
      </c>
      <c r="G21" s="278"/>
      <c r="H21" s="269">
        <f t="shared" si="2"/>
        <v>0</v>
      </c>
      <c r="I21" s="271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197"/>
      <c r="K21" s="208"/>
      <c r="L21" s="208"/>
      <c r="M21" s="208"/>
      <c r="N21" s="208"/>
      <c r="O21" s="207"/>
    </row>
    <row r="22" spans="1:15" s="210" customFormat="1" ht="11.25">
      <c r="A22" s="207"/>
      <c r="B22" s="198">
        <f t="shared" si="3"/>
        <v>43174</v>
      </c>
      <c r="C22" s="199">
        <f t="shared" si="0"/>
        <v>5</v>
      </c>
      <c r="D22" s="200">
        <v>0</v>
      </c>
      <c r="E22" s="200">
        <v>0</v>
      </c>
      <c r="F22" s="268">
        <f t="shared" si="4"/>
        <v>0</v>
      </c>
      <c r="G22" s="278"/>
      <c r="H22" s="269">
        <f t="shared" si="2"/>
        <v>0</v>
      </c>
      <c r="I22" s="271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197"/>
      <c r="K22" s="208"/>
      <c r="L22" s="208"/>
      <c r="M22" s="208"/>
      <c r="N22" s="208"/>
      <c r="O22" s="207"/>
    </row>
    <row r="23" spans="1:15" s="210" customFormat="1" ht="11.25">
      <c r="A23" s="207"/>
      <c r="B23" s="198">
        <f t="shared" si="3"/>
        <v>43175</v>
      </c>
      <c r="C23" s="199">
        <f t="shared" si="0"/>
        <v>6</v>
      </c>
      <c r="D23" s="200">
        <v>0</v>
      </c>
      <c r="E23" s="200">
        <v>0</v>
      </c>
      <c r="F23" s="268">
        <f t="shared" si="4"/>
        <v>0</v>
      </c>
      <c r="G23" s="278"/>
      <c r="H23" s="269">
        <f t="shared" si="2"/>
        <v>0</v>
      </c>
      <c r="I23" s="271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197"/>
      <c r="K23" s="208"/>
      <c r="L23" s="208"/>
      <c r="M23" s="208"/>
      <c r="N23" s="208"/>
      <c r="O23" s="207"/>
    </row>
    <row r="24" spans="1:15" s="210" customFormat="1" ht="11.25">
      <c r="A24" s="207"/>
      <c r="B24" s="198">
        <f t="shared" si="3"/>
        <v>43176</v>
      </c>
      <c r="C24" s="199">
        <f t="shared" si="0"/>
        <v>7</v>
      </c>
      <c r="D24" s="200">
        <v>0</v>
      </c>
      <c r="E24" s="200">
        <v>0</v>
      </c>
      <c r="F24" s="268">
        <f t="shared" si="4"/>
        <v>0</v>
      </c>
      <c r="G24" s="278"/>
      <c r="H24" s="269">
        <f t="shared" si="2"/>
        <v>0</v>
      </c>
      <c r="I24" s="271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197"/>
      <c r="K24" s="208"/>
      <c r="L24" s="208"/>
      <c r="M24" s="208"/>
      <c r="N24" s="208"/>
      <c r="O24" s="207"/>
    </row>
    <row r="25" spans="1:15" s="210" customFormat="1" ht="11.25">
      <c r="A25" s="207"/>
      <c r="B25" s="198">
        <f t="shared" si="3"/>
        <v>43177</v>
      </c>
      <c r="C25" s="199">
        <f t="shared" si="0"/>
        <v>1</v>
      </c>
      <c r="D25" s="200">
        <v>0</v>
      </c>
      <c r="E25" s="200">
        <v>0</v>
      </c>
      <c r="F25" s="268">
        <f t="shared" si="4"/>
        <v>0</v>
      </c>
      <c r="G25" s="278"/>
      <c r="H25" s="269">
        <f t="shared" si="2"/>
        <v>0</v>
      </c>
      <c r="I25" s="271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197"/>
      <c r="K25" s="208"/>
      <c r="L25" s="208"/>
      <c r="M25" s="208"/>
      <c r="N25" s="208"/>
      <c r="O25" s="207"/>
    </row>
    <row r="26" spans="1:15" s="210" customFormat="1" ht="11.25">
      <c r="A26" s="207"/>
      <c r="B26" s="198">
        <f t="shared" si="3"/>
        <v>43178</v>
      </c>
      <c r="C26" s="199">
        <f t="shared" si="0"/>
        <v>2</v>
      </c>
      <c r="D26" s="200">
        <v>0</v>
      </c>
      <c r="E26" s="200">
        <v>0</v>
      </c>
      <c r="F26" s="268">
        <f t="shared" si="4"/>
        <v>0</v>
      </c>
      <c r="G26" s="278"/>
      <c r="H26" s="269">
        <f t="shared" si="2"/>
        <v>0</v>
      </c>
      <c r="I26" s="271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197"/>
      <c r="K26" s="208"/>
      <c r="L26" s="208"/>
      <c r="M26" s="208"/>
      <c r="N26" s="208"/>
      <c r="O26" s="207"/>
    </row>
    <row r="27" spans="1:15" s="210" customFormat="1" ht="11.25">
      <c r="A27" s="207"/>
      <c r="B27" s="198">
        <f t="shared" si="3"/>
        <v>43179</v>
      </c>
      <c r="C27" s="199">
        <f t="shared" si="0"/>
        <v>3</v>
      </c>
      <c r="D27" s="200">
        <v>0</v>
      </c>
      <c r="E27" s="200">
        <v>0</v>
      </c>
      <c r="F27" s="268">
        <f t="shared" si="4"/>
        <v>0</v>
      </c>
      <c r="G27" s="278"/>
      <c r="H27" s="269">
        <f t="shared" si="2"/>
        <v>0</v>
      </c>
      <c r="I27" s="271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197"/>
      <c r="K27" s="208"/>
      <c r="L27" s="208"/>
      <c r="M27" s="208"/>
      <c r="N27" s="208"/>
      <c r="O27" s="207"/>
    </row>
    <row r="28" spans="1:15" s="210" customFormat="1" ht="11.25">
      <c r="A28" s="207"/>
      <c r="B28" s="198">
        <f t="shared" si="3"/>
        <v>43180</v>
      </c>
      <c r="C28" s="199">
        <f t="shared" si="0"/>
        <v>4</v>
      </c>
      <c r="D28" s="200">
        <v>0</v>
      </c>
      <c r="E28" s="200">
        <v>0</v>
      </c>
      <c r="F28" s="268">
        <f t="shared" si="4"/>
        <v>0</v>
      </c>
      <c r="G28" s="278"/>
      <c r="H28" s="269">
        <f t="shared" si="2"/>
        <v>0</v>
      </c>
      <c r="I28" s="271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197"/>
      <c r="K28" s="208"/>
      <c r="L28" s="208"/>
      <c r="M28" s="208"/>
      <c r="N28" s="208"/>
      <c r="O28" s="207"/>
    </row>
    <row r="29" spans="1:15" s="210" customFormat="1" ht="11.25">
      <c r="A29" s="207"/>
      <c r="B29" s="198">
        <f t="shared" si="3"/>
        <v>43181</v>
      </c>
      <c r="C29" s="199">
        <f t="shared" si="0"/>
        <v>5</v>
      </c>
      <c r="D29" s="200">
        <v>0</v>
      </c>
      <c r="E29" s="200">
        <v>0</v>
      </c>
      <c r="F29" s="268">
        <f t="shared" si="4"/>
        <v>0</v>
      </c>
      <c r="G29" s="278"/>
      <c r="H29" s="269">
        <f>IF(F29-I29&gt;0,F29-I29,0)</f>
        <v>0</v>
      </c>
      <c r="I29" s="271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197"/>
      <c r="K29" s="208"/>
      <c r="L29" s="208"/>
      <c r="M29" s="208"/>
      <c r="N29" s="208"/>
      <c r="O29" s="207"/>
    </row>
    <row r="30" spans="1:15" s="210" customFormat="1" ht="11.25">
      <c r="A30" s="207"/>
      <c r="B30" s="198">
        <f t="shared" si="3"/>
        <v>43182</v>
      </c>
      <c r="C30" s="199">
        <f t="shared" si="0"/>
        <v>6</v>
      </c>
      <c r="D30" s="200">
        <v>0</v>
      </c>
      <c r="E30" s="200">
        <v>0</v>
      </c>
      <c r="F30" s="268">
        <f t="shared" si="4"/>
        <v>0</v>
      </c>
      <c r="G30" s="278"/>
      <c r="H30" s="269">
        <f aca="true" t="shared" si="5" ref="H30:H38">IF(F30-I30&gt;0,F30-I30,0)</f>
        <v>0</v>
      </c>
      <c r="I30" s="271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197"/>
      <c r="K30" s="208"/>
      <c r="L30" s="208"/>
      <c r="M30" s="208"/>
      <c r="N30" s="208"/>
      <c r="O30" s="207"/>
    </row>
    <row r="31" spans="1:15" s="210" customFormat="1" ht="11.25">
      <c r="A31" s="207"/>
      <c r="B31" s="198">
        <f t="shared" si="3"/>
        <v>43183</v>
      </c>
      <c r="C31" s="199">
        <f t="shared" si="0"/>
        <v>7</v>
      </c>
      <c r="D31" s="200">
        <v>0</v>
      </c>
      <c r="E31" s="200">
        <v>0</v>
      </c>
      <c r="F31" s="268">
        <f t="shared" si="4"/>
        <v>0</v>
      </c>
      <c r="G31" s="278"/>
      <c r="H31" s="269">
        <f t="shared" si="5"/>
        <v>0</v>
      </c>
      <c r="I31" s="271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197"/>
      <c r="K31" s="208"/>
      <c r="L31" s="208"/>
      <c r="M31" s="208"/>
      <c r="N31" s="208"/>
      <c r="O31" s="207"/>
    </row>
    <row r="32" spans="1:15" s="210" customFormat="1" ht="11.25">
      <c r="A32" s="207"/>
      <c r="B32" s="198">
        <f t="shared" si="3"/>
        <v>43184</v>
      </c>
      <c r="C32" s="199">
        <f t="shared" si="0"/>
        <v>1</v>
      </c>
      <c r="D32" s="200">
        <v>0</v>
      </c>
      <c r="E32" s="200">
        <v>0</v>
      </c>
      <c r="F32" s="268">
        <f t="shared" si="4"/>
        <v>0</v>
      </c>
      <c r="G32" s="278"/>
      <c r="H32" s="269">
        <f t="shared" si="5"/>
        <v>0</v>
      </c>
      <c r="I32" s="271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197"/>
      <c r="K32" s="208"/>
      <c r="L32" s="208"/>
      <c r="M32" s="208"/>
      <c r="N32" s="208"/>
      <c r="O32" s="207"/>
    </row>
    <row r="33" spans="1:15" s="210" customFormat="1" ht="11.25">
      <c r="A33" s="207"/>
      <c r="B33" s="198">
        <f t="shared" si="3"/>
        <v>43185</v>
      </c>
      <c r="C33" s="199">
        <f t="shared" si="0"/>
        <v>2</v>
      </c>
      <c r="D33" s="200">
        <v>0</v>
      </c>
      <c r="E33" s="200">
        <v>0</v>
      </c>
      <c r="F33" s="268">
        <f t="shared" si="4"/>
        <v>0</v>
      </c>
      <c r="G33" s="278"/>
      <c r="H33" s="269">
        <f t="shared" si="5"/>
        <v>0</v>
      </c>
      <c r="I33" s="271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197"/>
      <c r="K33" s="208"/>
      <c r="L33" s="208"/>
      <c r="M33" s="208"/>
      <c r="N33" s="208"/>
      <c r="O33" s="207"/>
    </row>
    <row r="34" spans="1:15" s="210" customFormat="1" ht="11.25">
      <c r="A34" s="207"/>
      <c r="B34" s="198">
        <f t="shared" si="3"/>
        <v>43186</v>
      </c>
      <c r="C34" s="199">
        <f t="shared" si="0"/>
        <v>3</v>
      </c>
      <c r="D34" s="200">
        <v>0</v>
      </c>
      <c r="E34" s="200">
        <v>0</v>
      </c>
      <c r="F34" s="268">
        <f t="shared" si="4"/>
        <v>0</v>
      </c>
      <c r="G34" s="278"/>
      <c r="H34" s="269">
        <f t="shared" si="5"/>
        <v>0</v>
      </c>
      <c r="I34" s="271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197"/>
      <c r="K34" s="208"/>
      <c r="L34" s="208"/>
      <c r="M34" s="208"/>
      <c r="N34" s="208"/>
      <c r="O34" s="207"/>
    </row>
    <row r="35" spans="1:15" s="210" customFormat="1" ht="11.25">
      <c r="A35" s="207"/>
      <c r="B35" s="198">
        <f t="shared" si="3"/>
        <v>43187</v>
      </c>
      <c r="C35" s="199">
        <f t="shared" si="0"/>
        <v>4</v>
      </c>
      <c r="D35" s="200">
        <v>0</v>
      </c>
      <c r="E35" s="200">
        <v>0</v>
      </c>
      <c r="F35" s="268">
        <f t="shared" si="4"/>
        <v>0</v>
      </c>
      <c r="G35" s="278"/>
      <c r="H35" s="269">
        <f t="shared" si="5"/>
        <v>0</v>
      </c>
      <c r="I35" s="271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197"/>
      <c r="K35" s="208"/>
      <c r="L35" s="208"/>
      <c r="M35" s="208"/>
      <c r="N35" s="208"/>
      <c r="O35" s="207"/>
    </row>
    <row r="36" spans="1:15" s="210" customFormat="1" ht="11.25">
      <c r="A36" s="207"/>
      <c r="B36" s="198">
        <f t="shared" si="3"/>
        <v>43188</v>
      </c>
      <c r="C36" s="199">
        <f t="shared" si="0"/>
        <v>5</v>
      </c>
      <c r="D36" s="200">
        <v>0</v>
      </c>
      <c r="E36" s="200">
        <v>0</v>
      </c>
      <c r="F36" s="268">
        <f t="shared" si="4"/>
        <v>0</v>
      </c>
      <c r="G36" s="278"/>
      <c r="H36" s="269">
        <f t="shared" si="5"/>
        <v>0</v>
      </c>
      <c r="I36" s="271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197"/>
      <c r="K36" s="208"/>
      <c r="L36" s="208"/>
      <c r="M36" s="208"/>
      <c r="N36" s="208"/>
      <c r="O36" s="207"/>
    </row>
    <row r="37" spans="1:15" s="210" customFormat="1" ht="11.25">
      <c r="A37" s="207"/>
      <c r="B37" s="584">
        <f t="shared" si="3"/>
        <v>43189</v>
      </c>
      <c r="C37" s="214">
        <f t="shared" si="0"/>
        <v>6</v>
      </c>
      <c r="D37" s="200">
        <v>0</v>
      </c>
      <c r="E37" s="200">
        <v>0</v>
      </c>
      <c r="F37" s="268">
        <f t="shared" si="4"/>
        <v>0</v>
      </c>
      <c r="G37" s="278"/>
      <c r="H37" s="269">
        <f t="shared" si="5"/>
        <v>0</v>
      </c>
      <c r="I37" s="271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197"/>
      <c r="K37" s="208"/>
      <c r="L37" s="208"/>
      <c r="M37" s="208"/>
      <c r="N37" s="208"/>
      <c r="O37" s="207"/>
    </row>
    <row r="38" spans="1:15" s="210" customFormat="1" ht="11.25">
      <c r="A38" s="207"/>
      <c r="B38" s="198">
        <f t="shared" si="3"/>
        <v>43190</v>
      </c>
      <c r="C38" s="199">
        <f t="shared" si="0"/>
        <v>7</v>
      </c>
      <c r="D38" s="200">
        <v>0</v>
      </c>
      <c r="E38" s="200">
        <v>0</v>
      </c>
      <c r="F38" s="268">
        <f t="shared" si="4"/>
        <v>0</v>
      </c>
      <c r="G38" s="278"/>
      <c r="H38" s="269">
        <f t="shared" si="5"/>
        <v>0</v>
      </c>
      <c r="I38" s="271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197"/>
      <c r="K38" s="208"/>
      <c r="L38" s="208"/>
      <c r="M38" s="208"/>
      <c r="N38" s="208"/>
      <c r="O38" s="207"/>
    </row>
    <row r="39" spans="1:15" s="210" customFormat="1" ht="12" customHeight="1">
      <c r="A39" s="211"/>
      <c r="B39" s="188"/>
      <c r="C39" s="188"/>
      <c r="D39" s="577" t="s">
        <v>88</v>
      </c>
      <c r="E39" s="578"/>
      <c r="F39" s="270">
        <f>SUM(F7:F38)</f>
        <v>0</v>
      </c>
      <c r="G39" s="281"/>
      <c r="H39" s="270">
        <f>SUM(H8:H38)</f>
        <v>0</v>
      </c>
      <c r="I39" s="272">
        <f>SUM(I8:I38)</f>
        <v>0</v>
      </c>
      <c r="J39" s="244"/>
      <c r="K39" s="208"/>
      <c r="L39" s="208"/>
      <c r="M39" s="208"/>
      <c r="N39" s="208"/>
      <c r="O39" s="207"/>
    </row>
    <row r="40" spans="1:15" s="210" customFormat="1" ht="12" customHeight="1">
      <c r="A40" s="211"/>
      <c r="B40" s="188"/>
      <c r="C40" s="657" t="s">
        <v>318</v>
      </c>
      <c r="D40" s="657"/>
      <c r="E40" s="658"/>
      <c r="F40" s="576">
        <f>SUM(H39,PRODUCT(SUM(J40,J42,J43),Stammdaten!H28))</f>
        <v>0</v>
      </c>
      <c r="G40" s="664" t="s">
        <v>90</v>
      </c>
      <c r="H40" s="665"/>
      <c r="I40" s="666"/>
      <c r="J40" s="204">
        <f>COUNTIF(J8:J38,"u")</f>
        <v>0</v>
      </c>
      <c r="K40" s="208"/>
      <c r="L40" s="208"/>
      <c r="M40" s="208"/>
      <c r="N40" s="208"/>
      <c r="O40" s="207"/>
    </row>
    <row r="41" spans="1:15" s="210" customFormat="1" ht="11.25">
      <c r="A41" s="211"/>
      <c r="B41" s="592">
        <f>Ostern(gewJahr)</f>
        <v>43191</v>
      </c>
      <c r="C41" s="659" t="s">
        <v>117</v>
      </c>
      <c r="D41" s="659"/>
      <c r="E41" s="660"/>
      <c r="F41" s="282">
        <v>0</v>
      </c>
      <c r="G41" s="650" t="s">
        <v>115</v>
      </c>
      <c r="H41" s="651"/>
      <c r="I41" s="652"/>
      <c r="J41" s="205">
        <f>Feb!J41-J40</f>
        <v>25</v>
      </c>
      <c r="K41" s="208"/>
      <c r="L41" s="208"/>
      <c r="M41" s="208"/>
      <c r="N41" s="208"/>
      <c r="O41" s="207"/>
    </row>
    <row r="42" spans="1:15" s="210" customFormat="1" ht="11.25">
      <c r="A42" s="211"/>
      <c r="B42" s="188"/>
      <c r="C42" s="615" t="s">
        <v>121</v>
      </c>
      <c r="D42" s="615"/>
      <c r="E42" s="661"/>
      <c r="F42" s="283">
        <v>0</v>
      </c>
      <c r="G42" s="664" t="s">
        <v>91</v>
      </c>
      <c r="H42" s="665"/>
      <c r="I42" s="666"/>
      <c r="J42" s="206">
        <f>COUNTIF(J8:J38,"k")</f>
        <v>0</v>
      </c>
      <c r="K42" s="193"/>
      <c r="L42" s="212"/>
      <c r="M42" s="197">
        <f>COUNTIF(M8:M38,"k")</f>
        <v>0</v>
      </c>
      <c r="N42" s="208"/>
      <c r="O42" s="207"/>
    </row>
    <row r="43" spans="1:15" s="210" customFormat="1" ht="11.25">
      <c r="A43" s="211"/>
      <c r="B43" s="188"/>
      <c r="C43" s="662" t="s">
        <v>122</v>
      </c>
      <c r="D43" s="662"/>
      <c r="E43" s="663"/>
      <c r="F43" s="284">
        <v>0</v>
      </c>
      <c r="G43" s="664" t="s">
        <v>116</v>
      </c>
      <c r="H43" s="640"/>
      <c r="I43" s="640"/>
      <c r="J43" s="197">
        <f>COUNTIF(J8:J38,"nu")</f>
        <v>0</v>
      </c>
      <c r="K43" s="208"/>
      <c r="L43" s="208"/>
      <c r="M43" s="208"/>
      <c r="N43" s="208"/>
      <c r="O43" s="207"/>
    </row>
    <row r="44" spans="1:15" s="210" customFormat="1" ht="12.75">
      <c r="A44" s="211"/>
      <c r="B44" s="188"/>
      <c r="C44" s="615" t="str">
        <f>Stammdaten!$F$23</f>
        <v>Sonderschicht I</v>
      </c>
      <c r="D44" s="615"/>
      <c r="E44" s="661"/>
      <c r="F44" s="283">
        <v>0</v>
      </c>
      <c r="H44" s="81"/>
      <c r="I44" s="5"/>
      <c r="J44" s="5"/>
      <c r="K44" s="208"/>
      <c r="L44" s="208"/>
      <c r="M44" s="208"/>
      <c r="N44" s="208"/>
      <c r="O44" s="207"/>
    </row>
    <row r="45" spans="1:15" s="210" customFormat="1" ht="11.25">
      <c r="A45" s="211"/>
      <c r="B45" s="188"/>
      <c r="C45" s="615" t="str">
        <f>Stammdaten!$G$24</f>
        <v>Sonderschicht II</v>
      </c>
      <c r="D45" s="615"/>
      <c r="E45" s="661"/>
      <c r="F45" s="283">
        <v>0</v>
      </c>
      <c r="G45" s="193"/>
      <c r="H45" s="485"/>
      <c r="I45" s="492"/>
      <c r="J45" s="211"/>
      <c r="K45" s="208"/>
      <c r="L45" s="208"/>
      <c r="M45" s="208"/>
      <c r="N45" s="208"/>
      <c r="O45" s="207"/>
    </row>
    <row r="46" spans="1:14" ht="11.25" customHeight="1">
      <c r="A46" s="165"/>
      <c r="B46" s="182"/>
      <c r="C46" s="653" t="s">
        <v>183</v>
      </c>
      <c r="D46" s="653"/>
      <c r="E46" s="654"/>
      <c r="F46" s="274">
        <f>$I$39</f>
        <v>0</v>
      </c>
      <c r="G46" s="183"/>
      <c r="H46" s="81"/>
      <c r="I46" s="5"/>
      <c r="J46" s="5"/>
      <c r="K46" s="77"/>
      <c r="L46" s="65"/>
      <c r="M46" s="65"/>
      <c r="N46" s="65"/>
    </row>
    <row r="47" spans="2:14" ht="12.75">
      <c r="B47" s="182"/>
      <c r="C47" s="655" t="s">
        <v>33</v>
      </c>
      <c r="D47" s="655"/>
      <c r="E47" s="656"/>
      <c r="F47" s="564">
        <f>Arbeitszeitübersicht!D8/24</f>
        <v>0.4791666666666667</v>
      </c>
      <c r="G47" s="222"/>
      <c r="H47" s="81"/>
      <c r="I47" s="5"/>
      <c r="J47" s="5"/>
      <c r="K47" s="5"/>
      <c r="L47" s="77"/>
      <c r="M47" s="77"/>
      <c r="N47" s="77"/>
    </row>
    <row r="48" spans="2:14" ht="12.75">
      <c r="B48" s="4"/>
      <c r="C48" s="4"/>
      <c r="D48" s="4"/>
      <c r="E48" s="4"/>
      <c r="F48" s="4"/>
      <c r="H48" s="4"/>
      <c r="I48" s="102"/>
      <c r="J48" s="11"/>
      <c r="K48" s="11"/>
      <c r="L48" s="5"/>
      <c r="N48" s="101"/>
    </row>
    <row r="49" spans="2:12" ht="12.75">
      <c r="B49" s="5"/>
      <c r="C49" s="193"/>
      <c r="D49" s="193"/>
      <c r="E49" s="459" t="s">
        <v>251</v>
      </c>
      <c r="F49" s="460"/>
      <c r="G49" s="457"/>
      <c r="H49" s="458"/>
      <c r="I49" s="457"/>
      <c r="J49" s="457"/>
      <c r="K49" s="5"/>
      <c r="L49" s="4"/>
    </row>
    <row r="50" spans="2:12" ht="12.75">
      <c r="B50" s="4"/>
      <c r="C50" s="4"/>
      <c r="D50" s="11"/>
      <c r="E50" s="669"/>
      <c r="F50" s="669"/>
      <c r="G50" s="669"/>
      <c r="H50" s="5"/>
      <c r="I50" s="103"/>
      <c r="J50" s="11"/>
      <c r="K50" s="5"/>
      <c r="L50" s="5"/>
    </row>
    <row r="51" spans="2:13" ht="12.75">
      <c r="B51" s="4"/>
      <c r="C51" s="4"/>
      <c r="D51" s="5"/>
      <c r="E51" s="13"/>
      <c r="F51" s="669"/>
      <c r="G51" s="670"/>
      <c r="H51" s="670"/>
      <c r="I51" s="100"/>
      <c r="J51" s="100"/>
      <c r="K51" s="5"/>
      <c r="L51" s="5"/>
      <c r="M51" s="101"/>
    </row>
    <row r="52" spans="2:14" ht="12.75">
      <c r="B52" s="4"/>
      <c r="C52" s="4"/>
      <c r="D52" s="4"/>
      <c r="E52" s="5"/>
      <c r="F52" s="669"/>
      <c r="G52" s="670"/>
      <c r="H52" s="670"/>
      <c r="I52" s="81"/>
      <c r="J52" s="5"/>
      <c r="K52" s="5"/>
      <c r="L52" s="5"/>
      <c r="M52" s="101"/>
      <c r="N52" s="101"/>
    </row>
    <row r="53" spans="2:14" ht="12.75">
      <c r="B53" s="4"/>
      <c r="C53" s="4"/>
      <c r="D53" s="4"/>
      <c r="E53" s="4"/>
      <c r="F53" s="4"/>
      <c r="H53" s="4"/>
      <c r="I53" s="102"/>
      <c r="J53" s="11"/>
      <c r="K53" s="11"/>
      <c r="L53" s="5"/>
      <c r="N53" s="101"/>
    </row>
    <row r="54" spans="2:12" ht="0.75" customHeight="1">
      <c r="B54" s="4"/>
      <c r="C54" s="4"/>
      <c r="D54" s="4"/>
      <c r="E54" s="4"/>
      <c r="F54" s="4"/>
      <c r="H54" s="102"/>
      <c r="I54" s="11"/>
      <c r="J54" s="11"/>
      <c r="K54" s="5"/>
      <c r="L54" s="4"/>
    </row>
    <row r="55" spans="2:12" ht="12.75" customHeight="1" hidden="1">
      <c r="B55" s="4"/>
      <c r="C55" s="4"/>
      <c r="D55" s="4"/>
      <c r="E55" s="5"/>
      <c r="F55" s="5"/>
      <c r="G55" s="5"/>
      <c r="H55" s="102"/>
      <c r="I55" s="11"/>
      <c r="J55" s="5"/>
      <c r="K55" s="5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5"/>
      <c r="D57" s="5"/>
      <c r="E57" s="11"/>
      <c r="F57" s="13"/>
      <c r="G57" s="13"/>
      <c r="H57" s="81"/>
      <c r="I57" s="4"/>
      <c r="J57" s="4"/>
      <c r="K57" s="4"/>
      <c r="L57" s="4"/>
    </row>
    <row r="58" spans="2:12" ht="12.75" hidden="1">
      <c r="B58" s="4"/>
      <c r="C58" s="5"/>
      <c r="D58" s="5"/>
      <c r="E58" s="5"/>
      <c r="F58" s="5"/>
      <c r="G58" s="5"/>
      <c r="H58" s="5"/>
      <c r="I58" s="5"/>
      <c r="J58" s="5"/>
      <c r="K58" s="4"/>
      <c r="L58" s="4"/>
    </row>
    <row r="59" spans="2:12" ht="12.75" hidden="1">
      <c r="B59" s="4"/>
      <c r="C59" s="4"/>
      <c r="D59" s="4"/>
      <c r="E59" s="4"/>
      <c r="F59" s="4"/>
      <c r="H59" s="4"/>
      <c r="I59" s="5"/>
      <c r="J59" s="5"/>
      <c r="K59" s="4"/>
      <c r="L59" s="4"/>
    </row>
    <row r="60" spans="2:12" ht="15.75" customHeight="1" hidden="1">
      <c r="B60" s="4"/>
      <c r="C60" s="4"/>
      <c r="D60" s="4"/>
      <c r="E60" s="4"/>
      <c r="F60" s="4"/>
      <c r="H60" s="4"/>
      <c r="I60" s="4"/>
      <c r="J60" s="4"/>
      <c r="L60" s="4"/>
    </row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</sheetData>
  <sheetProtection/>
  <mergeCells count="18">
    <mergeCell ref="F52:H52"/>
    <mergeCell ref="E50:G50"/>
    <mergeCell ref="C41:E41"/>
    <mergeCell ref="C43:E43"/>
    <mergeCell ref="C44:E44"/>
    <mergeCell ref="C45:E45"/>
    <mergeCell ref="C46:E46"/>
    <mergeCell ref="C47:E47"/>
    <mergeCell ref="C42:E42"/>
    <mergeCell ref="B7:C7"/>
    <mergeCell ref="B4:C4"/>
    <mergeCell ref="F51:H51"/>
    <mergeCell ref="G43:I43"/>
    <mergeCell ref="J2:J6"/>
    <mergeCell ref="G41:I41"/>
    <mergeCell ref="G42:I42"/>
    <mergeCell ref="C40:E40"/>
    <mergeCell ref="G40:I40"/>
  </mergeCells>
  <conditionalFormatting sqref="B8:B26 H8:H28 I8:I38 F8:F26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C14:C27 G14:G26 G8:G12 C8:D12 E8:E38 D14:D25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C13:D13">
    <cfRule type="expression" priority="5" dxfId="1" stopIfTrue="1">
      <formula>WEEKDAY($B13)=7</formula>
    </cfRule>
    <cfRule type="expression" priority="6" dxfId="0" stopIfTrue="1">
      <formula>WEEKDAY($B13)=1</formula>
    </cfRule>
  </conditionalFormatting>
  <conditionalFormatting sqref="G13">
    <cfRule type="expression" priority="9" dxfId="1" stopIfTrue="1">
      <formula>WEEKDAY($B13)=7</formula>
    </cfRule>
    <cfRule type="expression" priority="10" dxfId="0" stopIfTrue="1">
      <formula>C5=1</formula>
    </cfRule>
  </conditionalFormatting>
  <conditionalFormatting sqref="B27:B30 B32:B38">
    <cfRule type="expression" priority="11" dxfId="10" stopIfTrue="1">
      <formula>OR($B27=$B$41,$B27=$B$41+1,$B27=$B$41-2)</formula>
    </cfRule>
    <cfRule type="expression" priority="12" dxfId="0" stopIfTrue="1">
      <formula>WEEKDAY($B27)=1</formula>
    </cfRule>
    <cfRule type="expression" priority="13" dxfId="1" stopIfTrue="1">
      <formula>WEEKDAY($B27)=7</formula>
    </cfRule>
  </conditionalFormatting>
  <conditionalFormatting sqref="C28:C38">
    <cfRule type="expression" priority="14" dxfId="10" stopIfTrue="1">
      <formula>OR($B28=$B$41,$B28=$B$41+1,$B28=$B$41-2)</formula>
    </cfRule>
    <cfRule type="expression" priority="15" dxfId="0" stopIfTrue="1">
      <formula>WEEKDAY($B28)=1</formula>
    </cfRule>
    <cfRule type="expression" priority="16" dxfId="1" stopIfTrue="1">
      <formula>WEEKDAY($B28)=7</formula>
    </cfRule>
  </conditionalFormatting>
  <conditionalFormatting sqref="B31">
    <cfRule type="expression" priority="20" dxfId="10" stopIfTrue="1">
      <formula>OR($B31=$B$41,$B31=$B$41+1,$B31=$B$41-2)</formula>
    </cfRule>
    <cfRule type="expression" priority="21" dxfId="0" stopIfTrue="1">
      <formula>WEEKDAY($B31)=1</formula>
    </cfRule>
    <cfRule type="expression" priority="22" dxfId="1" stopIfTrue="1">
      <formula>WEEKDAY($B31)=7</formula>
    </cfRule>
  </conditionalFormatting>
  <conditionalFormatting sqref="H30">
    <cfRule type="expression" priority="23" dxfId="10" stopIfTrue="1">
      <formula>OR($B30=$B$41,$B30=$B$41+1,$B30=$B$41-2)</formula>
    </cfRule>
    <cfRule type="expression" priority="24" dxfId="1" stopIfTrue="1">
      <formula>WEEKDAY($B30)=7</formula>
    </cfRule>
    <cfRule type="expression" priority="25" dxfId="0" stopIfTrue="1">
      <formula>WEEKDAY($B30)=1</formula>
    </cfRule>
  </conditionalFormatting>
  <conditionalFormatting sqref="D26">
    <cfRule type="expression" priority="26" dxfId="0" stopIfTrue="1">
      <formula>WEEKDAY($B26)=1</formula>
    </cfRule>
    <cfRule type="expression" priority="27" dxfId="1" stopIfTrue="1">
      <formula>WEEKDAY($B26)=7</formula>
    </cfRule>
  </conditionalFormatting>
  <conditionalFormatting sqref="B8:H38">
    <cfRule type="expression" priority="17" dxfId="10" stopIfTrue="1">
      <formula>OR($B8=$B$41,$B8=$B$41+1,$B8=$B$41-2)</formula>
    </cfRule>
    <cfRule type="expression" priority="18" dxfId="1" stopIfTrue="1">
      <formula>WEEKDAY($B8)=7</formula>
    </cfRule>
    <cfRule type="expression" priority="19" dxfId="0" stopIfTrue="1">
      <formula>WEEKDAY($B8)=1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2"/>
  <dimension ref="A1:O59"/>
  <sheetViews>
    <sheetView defaultGridColor="0" zoomScalePageLayoutView="0" colorId="22" workbookViewId="0" topLeftCell="B1">
      <selection activeCell="F40" sqref="F40"/>
    </sheetView>
  </sheetViews>
  <sheetFormatPr defaultColWidth="0" defaultRowHeight="15.75" customHeight="1" zeroHeight="1"/>
  <cols>
    <col min="1" max="1" width="3.57421875" style="4" customWidth="1"/>
    <col min="2" max="2" width="7.00390625" style="0" customWidth="1"/>
    <col min="3" max="3" width="3.7109375" style="0" customWidth="1"/>
    <col min="4" max="5" width="7.7109375" style="0" customWidth="1"/>
    <col min="6" max="6" width="7.57421875" style="0" customWidth="1"/>
    <col min="7" max="7" width="8.281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3"/>
      <c r="L1" s="14"/>
      <c r="M1" s="14"/>
      <c r="N1" s="14"/>
    </row>
    <row r="2" spans="2:14" ht="15">
      <c r="B2" s="446" t="str">
        <f>"Arbeitszeitachweis April "&amp;gewJahr</f>
        <v>Arbeitszeitachweis April 2018</v>
      </c>
      <c r="C2" s="447"/>
      <c r="D2" s="447"/>
      <c r="E2" s="447"/>
      <c r="F2" s="447"/>
      <c r="G2" s="446"/>
      <c r="H2" s="446"/>
      <c r="I2" s="446"/>
      <c r="J2" s="667" t="s">
        <v>92</v>
      </c>
      <c r="K2" s="13"/>
      <c r="L2" s="63"/>
      <c r="M2" s="14"/>
      <c r="N2" s="14"/>
    </row>
    <row r="3" spans="2:14" ht="13.5" customHeight="1">
      <c r="B3" s="484" t="s">
        <v>124</v>
      </c>
      <c r="C3" s="456" t="str">
        <f>Stammdaten!$B$6</f>
        <v>Mustermann, Hans</v>
      </c>
      <c r="D3" s="449"/>
      <c r="E3" s="449"/>
      <c r="F3" s="450"/>
      <c r="G3" s="450"/>
      <c r="H3" s="445"/>
      <c r="I3" s="451"/>
      <c r="J3" s="643"/>
      <c r="K3" s="14"/>
      <c r="L3" s="13"/>
      <c r="M3" s="13"/>
      <c r="N3" s="13"/>
    </row>
    <row r="4" spans="2:14" ht="12.75" customHeight="1" hidden="1">
      <c r="B4" s="452"/>
      <c r="C4" s="452"/>
      <c r="D4" s="448"/>
      <c r="E4" s="449"/>
      <c r="F4" s="449"/>
      <c r="G4" s="450"/>
      <c r="H4" s="14"/>
      <c r="I4" s="14"/>
      <c r="J4" s="643"/>
      <c r="K4" s="4"/>
      <c r="L4" s="14"/>
      <c r="M4" s="14"/>
      <c r="N4" s="14"/>
    </row>
    <row r="5" spans="2:12" ht="12.75" customHeight="1" hidden="1">
      <c r="B5" s="4"/>
      <c r="C5" s="66"/>
      <c r="D5" s="4"/>
      <c r="E5" s="4"/>
      <c r="F5" s="4"/>
      <c r="H5" s="4"/>
      <c r="I5" s="4"/>
      <c r="J5" s="643"/>
      <c r="K5" s="5"/>
      <c r="L5" s="4"/>
    </row>
    <row r="6" spans="2:14" ht="12.75">
      <c r="B6" s="43"/>
      <c r="C6" s="43"/>
      <c r="D6" s="43"/>
      <c r="E6" s="43"/>
      <c r="F6" s="43"/>
      <c r="G6" s="43"/>
      <c r="H6" s="43"/>
      <c r="I6" s="43"/>
      <c r="J6" s="668"/>
      <c r="K6" s="78"/>
      <c r="L6" s="5"/>
      <c r="M6" s="5"/>
      <c r="N6" s="5"/>
    </row>
    <row r="7" spans="1:15" s="210" customFormat="1" ht="25.5" customHeight="1">
      <c r="A7" s="207"/>
      <c r="B7" s="672" t="s">
        <v>38</v>
      </c>
      <c r="C7" s="673"/>
      <c r="D7" s="453" t="s">
        <v>247</v>
      </c>
      <c r="E7" s="454" t="s">
        <v>248</v>
      </c>
      <c r="F7" s="455" t="s">
        <v>249</v>
      </c>
      <c r="G7" s="455" t="s">
        <v>250</v>
      </c>
      <c r="H7" s="177" t="s">
        <v>65</v>
      </c>
      <c r="I7" s="178" t="s">
        <v>39</v>
      </c>
      <c r="J7" s="179" t="s">
        <v>89</v>
      </c>
      <c r="K7" s="209"/>
      <c r="L7" s="213"/>
      <c r="M7" s="213"/>
      <c r="N7" s="213"/>
      <c r="O7" s="207"/>
    </row>
    <row r="8" spans="1:15" s="210" customFormat="1" ht="11.25">
      <c r="A8" s="207"/>
      <c r="B8" s="215">
        <f>DATE(gewJahr,4,1)</f>
        <v>43191</v>
      </c>
      <c r="C8" s="199">
        <f aca="true" t="shared" si="0" ref="C8:C37">WEEKDAY(B8)</f>
        <v>1</v>
      </c>
      <c r="D8" s="200">
        <v>0</v>
      </c>
      <c r="E8" s="200">
        <v>0</v>
      </c>
      <c r="F8" s="268">
        <f>MAX(IF(D8&lt;=E8,E8-D8,"24:00"-D8+E8)-G8,0)</f>
        <v>0</v>
      </c>
      <c r="G8" s="200"/>
      <c r="H8" s="269">
        <f>IF(F8-I8&gt;0,F8-I8,0)</f>
        <v>0</v>
      </c>
      <c r="I8" s="271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197"/>
      <c r="K8" s="208"/>
      <c r="L8" s="209"/>
      <c r="M8" s="209"/>
      <c r="N8" s="209"/>
      <c r="O8" s="207"/>
    </row>
    <row r="9" spans="1:15" s="210" customFormat="1" ht="11.25">
      <c r="A9" s="207"/>
      <c r="B9" s="584">
        <f aca="true" t="shared" si="1" ref="B9:B37">B8+1</f>
        <v>43192</v>
      </c>
      <c r="C9" s="214">
        <f t="shared" si="0"/>
        <v>2</v>
      </c>
      <c r="D9" s="200">
        <v>0</v>
      </c>
      <c r="E9" s="200">
        <v>0</v>
      </c>
      <c r="F9" s="268">
        <f aca="true" t="shared" si="2" ref="F9:F37">MAX(IF(D9&lt;=E9,E9-D9,"24:00"-D9+E9)-G9,0)</f>
        <v>0</v>
      </c>
      <c r="G9" s="200"/>
      <c r="H9" s="269">
        <f aca="true" t="shared" si="3" ref="H9:H37">IF(F9-I9&gt;0,F9-I9,0)</f>
        <v>0</v>
      </c>
      <c r="I9" s="271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197"/>
      <c r="K9" s="208"/>
      <c r="L9" s="208"/>
      <c r="M9" s="208"/>
      <c r="N9" s="208"/>
      <c r="O9" s="207"/>
    </row>
    <row r="10" spans="1:15" s="210" customFormat="1" ht="11.25">
      <c r="A10" s="207"/>
      <c r="B10" s="198">
        <f t="shared" si="1"/>
        <v>43193</v>
      </c>
      <c r="C10" s="199">
        <f t="shared" si="0"/>
        <v>3</v>
      </c>
      <c r="D10" s="200">
        <v>0</v>
      </c>
      <c r="E10" s="200">
        <v>0</v>
      </c>
      <c r="F10" s="268">
        <f t="shared" si="2"/>
        <v>0</v>
      </c>
      <c r="G10" s="200"/>
      <c r="H10" s="269">
        <f t="shared" si="3"/>
        <v>0</v>
      </c>
      <c r="I10" s="271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197"/>
      <c r="K10" s="208"/>
      <c r="L10" s="208"/>
      <c r="M10" s="208"/>
      <c r="N10" s="208"/>
      <c r="O10" s="207"/>
    </row>
    <row r="11" spans="1:15" s="210" customFormat="1" ht="11.25">
      <c r="A11" s="207"/>
      <c r="B11" s="198">
        <f t="shared" si="1"/>
        <v>43194</v>
      </c>
      <c r="C11" s="199">
        <f t="shared" si="0"/>
        <v>4</v>
      </c>
      <c r="D11" s="200">
        <v>0</v>
      </c>
      <c r="E11" s="200">
        <v>0</v>
      </c>
      <c r="F11" s="268">
        <f t="shared" si="2"/>
        <v>0</v>
      </c>
      <c r="G11" s="200"/>
      <c r="H11" s="269">
        <f t="shared" si="3"/>
        <v>0</v>
      </c>
      <c r="I11" s="271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197"/>
      <c r="K11" s="208"/>
      <c r="L11" s="208"/>
      <c r="M11" s="208"/>
      <c r="N11" s="208"/>
      <c r="O11" s="207"/>
    </row>
    <row r="12" spans="1:15" s="210" customFormat="1" ht="11.25">
      <c r="A12" s="207"/>
      <c r="B12" s="198">
        <f t="shared" si="1"/>
        <v>43195</v>
      </c>
      <c r="C12" s="199">
        <f t="shared" si="0"/>
        <v>5</v>
      </c>
      <c r="D12" s="200">
        <v>0</v>
      </c>
      <c r="E12" s="200">
        <v>0</v>
      </c>
      <c r="F12" s="268">
        <f t="shared" si="2"/>
        <v>0</v>
      </c>
      <c r="G12" s="200"/>
      <c r="H12" s="269">
        <f t="shared" si="3"/>
        <v>0</v>
      </c>
      <c r="I12" s="271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197"/>
      <c r="K12" s="209"/>
      <c r="L12" s="208"/>
      <c r="M12" s="208"/>
      <c r="N12" s="208"/>
      <c r="O12" s="207"/>
    </row>
    <row r="13" spans="1:15" s="210" customFormat="1" ht="11.25">
      <c r="A13" s="207"/>
      <c r="B13" s="198">
        <f t="shared" si="1"/>
        <v>43196</v>
      </c>
      <c r="C13" s="199">
        <f t="shared" si="0"/>
        <v>6</v>
      </c>
      <c r="D13" s="200">
        <v>0</v>
      </c>
      <c r="E13" s="200">
        <v>0</v>
      </c>
      <c r="F13" s="268">
        <f t="shared" si="2"/>
        <v>0</v>
      </c>
      <c r="G13" s="200"/>
      <c r="H13" s="269">
        <f t="shared" si="3"/>
        <v>0</v>
      </c>
      <c r="I13" s="271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197"/>
      <c r="K13" s="208"/>
      <c r="L13" s="209"/>
      <c r="M13" s="208"/>
      <c r="N13" s="208"/>
      <c r="O13" s="207"/>
    </row>
    <row r="14" spans="1:15" s="210" customFormat="1" ht="11.25">
      <c r="A14" s="207"/>
      <c r="B14" s="198">
        <f t="shared" si="1"/>
        <v>43197</v>
      </c>
      <c r="C14" s="199">
        <f t="shared" si="0"/>
        <v>7</v>
      </c>
      <c r="D14" s="200">
        <v>0</v>
      </c>
      <c r="E14" s="200">
        <v>0</v>
      </c>
      <c r="F14" s="268">
        <f t="shared" si="2"/>
        <v>0</v>
      </c>
      <c r="G14" s="200"/>
      <c r="H14" s="269">
        <f t="shared" si="3"/>
        <v>0</v>
      </c>
      <c r="I14" s="271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197"/>
      <c r="K14" s="208"/>
      <c r="L14" s="208"/>
      <c r="M14" s="208"/>
      <c r="N14" s="208"/>
      <c r="O14" s="207"/>
    </row>
    <row r="15" spans="1:15" s="210" customFormat="1" ht="11.25">
      <c r="A15" s="207"/>
      <c r="B15" s="198">
        <f t="shared" si="1"/>
        <v>43198</v>
      </c>
      <c r="C15" s="199">
        <f t="shared" si="0"/>
        <v>1</v>
      </c>
      <c r="D15" s="200">
        <v>0</v>
      </c>
      <c r="E15" s="200">
        <v>0</v>
      </c>
      <c r="F15" s="268">
        <f t="shared" si="2"/>
        <v>0</v>
      </c>
      <c r="G15" s="200"/>
      <c r="H15" s="269">
        <f t="shared" si="3"/>
        <v>0</v>
      </c>
      <c r="I15" s="271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197"/>
      <c r="K15" s="208"/>
      <c r="L15" s="208"/>
      <c r="M15" s="208"/>
      <c r="N15" s="208"/>
      <c r="O15" s="207"/>
    </row>
    <row r="16" spans="1:15" s="210" customFormat="1" ht="11.25">
      <c r="A16" s="207"/>
      <c r="B16" s="198">
        <f t="shared" si="1"/>
        <v>43199</v>
      </c>
      <c r="C16" s="199">
        <f t="shared" si="0"/>
        <v>2</v>
      </c>
      <c r="D16" s="200">
        <v>0</v>
      </c>
      <c r="E16" s="200">
        <v>0</v>
      </c>
      <c r="F16" s="268">
        <f t="shared" si="2"/>
        <v>0</v>
      </c>
      <c r="G16" s="200"/>
      <c r="H16" s="269">
        <f t="shared" si="3"/>
        <v>0</v>
      </c>
      <c r="I16" s="271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197"/>
      <c r="K16" s="208"/>
      <c r="L16" s="208"/>
      <c r="M16" s="208"/>
      <c r="N16" s="208"/>
      <c r="O16" s="207"/>
    </row>
    <row r="17" spans="1:15" s="210" customFormat="1" ht="11.25">
      <c r="A17" s="207"/>
      <c r="B17" s="198">
        <f t="shared" si="1"/>
        <v>43200</v>
      </c>
      <c r="C17" s="199">
        <f t="shared" si="0"/>
        <v>3</v>
      </c>
      <c r="D17" s="200">
        <v>0</v>
      </c>
      <c r="E17" s="200">
        <v>0</v>
      </c>
      <c r="F17" s="268">
        <f t="shared" si="2"/>
        <v>0</v>
      </c>
      <c r="G17" s="200"/>
      <c r="H17" s="269">
        <f t="shared" si="3"/>
        <v>0</v>
      </c>
      <c r="I17" s="271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197"/>
      <c r="K17" s="208"/>
      <c r="L17" s="208"/>
      <c r="M17" s="208"/>
      <c r="N17" s="208"/>
      <c r="O17" s="207"/>
    </row>
    <row r="18" spans="1:15" s="210" customFormat="1" ht="11.25">
      <c r="A18" s="207"/>
      <c r="B18" s="198">
        <f t="shared" si="1"/>
        <v>43201</v>
      </c>
      <c r="C18" s="199">
        <f t="shared" si="0"/>
        <v>4</v>
      </c>
      <c r="D18" s="200">
        <v>0</v>
      </c>
      <c r="E18" s="200">
        <v>0</v>
      </c>
      <c r="F18" s="268">
        <f t="shared" si="2"/>
        <v>0</v>
      </c>
      <c r="G18" s="200"/>
      <c r="H18" s="269">
        <f t="shared" si="3"/>
        <v>0</v>
      </c>
      <c r="I18" s="271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197"/>
      <c r="K18" s="208"/>
      <c r="L18" s="208"/>
      <c r="M18" s="208"/>
      <c r="N18" s="208"/>
      <c r="O18" s="207"/>
    </row>
    <row r="19" spans="1:15" s="210" customFormat="1" ht="11.25">
      <c r="A19" s="207"/>
      <c r="B19" s="198">
        <f t="shared" si="1"/>
        <v>43202</v>
      </c>
      <c r="C19" s="199">
        <f t="shared" si="0"/>
        <v>5</v>
      </c>
      <c r="D19" s="200">
        <v>0</v>
      </c>
      <c r="E19" s="200">
        <v>0</v>
      </c>
      <c r="F19" s="268">
        <f t="shared" si="2"/>
        <v>0</v>
      </c>
      <c r="G19" s="200"/>
      <c r="H19" s="269">
        <f t="shared" si="3"/>
        <v>0</v>
      </c>
      <c r="I19" s="271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197"/>
      <c r="K19" s="208"/>
      <c r="L19" s="208"/>
      <c r="M19" s="208"/>
      <c r="N19" s="208"/>
      <c r="O19" s="207"/>
    </row>
    <row r="20" spans="1:15" s="210" customFormat="1" ht="11.25">
      <c r="A20" s="207"/>
      <c r="B20" s="198">
        <f t="shared" si="1"/>
        <v>43203</v>
      </c>
      <c r="C20" s="199">
        <f t="shared" si="0"/>
        <v>6</v>
      </c>
      <c r="D20" s="200">
        <v>0</v>
      </c>
      <c r="E20" s="200">
        <v>0</v>
      </c>
      <c r="F20" s="268">
        <f t="shared" si="2"/>
        <v>0</v>
      </c>
      <c r="G20" s="200"/>
      <c r="H20" s="269">
        <f t="shared" si="3"/>
        <v>0</v>
      </c>
      <c r="I20" s="271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197"/>
      <c r="K20" s="208"/>
      <c r="L20" s="208"/>
      <c r="M20" s="208"/>
      <c r="N20" s="208"/>
      <c r="O20" s="207"/>
    </row>
    <row r="21" spans="1:15" s="210" customFormat="1" ht="11.25">
      <c r="A21" s="207"/>
      <c r="B21" s="198">
        <f t="shared" si="1"/>
        <v>43204</v>
      </c>
      <c r="C21" s="199">
        <f t="shared" si="0"/>
        <v>7</v>
      </c>
      <c r="D21" s="200">
        <v>0</v>
      </c>
      <c r="E21" s="200">
        <v>0</v>
      </c>
      <c r="F21" s="268">
        <f t="shared" si="2"/>
        <v>0</v>
      </c>
      <c r="G21" s="200"/>
      <c r="H21" s="269">
        <f t="shared" si="3"/>
        <v>0</v>
      </c>
      <c r="I21" s="271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197"/>
      <c r="K21" s="208"/>
      <c r="L21" s="208"/>
      <c r="M21" s="208"/>
      <c r="N21" s="208"/>
      <c r="O21" s="207"/>
    </row>
    <row r="22" spans="1:15" s="210" customFormat="1" ht="11.25">
      <c r="A22" s="207"/>
      <c r="B22" s="198">
        <f t="shared" si="1"/>
        <v>43205</v>
      </c>
      <c r="C22" s="199">
        <f t="shared" si="0"/>
        <v>1</v>
      </c>
      <c r="D22" s="200">
        <v>0</v>
      </c>
      <c r="E22" s="200">
        <v>0</v>
      </c>
      <c r="F22" s="268">
        <f t="shared" si="2"/>
        <v>0</v>
      </c>
      <c r="G22" s="200"/>
      <c r="H22" s="269">
        <f t="shared" si="3"/>
        <v>0</v>
      </c>
      <c r="I22" s="271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197"/>
      <c r="K22" s="208"/>
      <c r="L22" s="208"/>
      <c r="M22" s="208"/>
      <c r="N22" s="208"/>
      <c r="O22" s="207"/>
    </row>
    <row r="23" spans="1:15" s="210" customFormat="1" ht="11.25">
      <c r="A23" s="207"/>
      <c r="B23" s="198">
        <f t="shared" si="1"/>
        <v>43206</v>
      </c>
      <c r="C23" s="199">
        <f t="shared" si="0"/>
        <v>2</v>
      </c>
      <c r="D23" s="200">
        <v>0</v>
      </c>
      <c r="E23" s="200">
        <v>0</v>
      </c>
      <c r="F23" s="268">
        <f t="shared" si="2"/>
        <v>0</v>
      </c>
      <c r="G23" s="200"/>
      <c r="H23" s="269">
        <f t="shared" si="3"/>
        <v>0</v>
      </c>
      <c r="I23" s="271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197"/>
      <c r="K23" s="208"/>
      <c r="L23" s="208"/>
      <c r="M23" s="208"/>
      <c r="N23" s="208"/>
      <c r="O23" s="207"/>
    </row>
    <row r="24" spans="1:15" s="210" customFormat="1" ht="11.25">
      <c r="A24" s="207"/>
      <c r="B24" s="198">
        <f t="shared" si="1"/>
        <v>43207</v>
      </c>
      <c r="C24" s="199">
        <f t="shared" si="0"/>
        <v>3</v>
      </c>
      <c r="D24" s="200">
        <v>0</v>
      </c>
      <c r="E24" s="200">
        <v>0</v>
      </c>
      <c r="F24" s="268">
        <f t="shared" si="2"/>
        <v>0</v>
      </c>
      <c r="G24" s="200"/>
      <c r="H24" s="269">
        <f t="shared" si="3"/>
        <v>0</v>
      </c>
      <c r="I24" s="271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197"/>
      <c r="K24" s="208"/>
      <c r="L24" s="208"/>
      <c r="M24" s="208"/>
      <c r="N24" s="208"/>
      <c r="O24" s="207"/>
    </row>
    <row r="25" spans="1:15" s="210" customFormat="1" ht="11.25">
      <c r="A25" s="207"/>
      <c r="B25" s="198">
        <f t="shared" si="1"/>
        <v>43208</v>
      </c>
      <c r="C25" s="199">
        <f t="shared" si="0"/>
        <v>4</v>
      </c>
      <c r="D25" s="200">
        <v>0</v>
      </c>
      <c r="E25" s="200">
        <v>0</v>
      </c>
      <c r="F25" s="268">
        <f t="shared" si="2"/>
        <v>0</v>
      </c>
      <c r="G25" s="200"/>
      <c r="H25" s="269">
        <f t="shared" si="3"/>
        <v>0</v>
      </c>
      <c r="I25" s="271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197"/>
      <c r="K25" s="208"/>
      <c r="L25" s="208"/>
      <c r="M25" s="208"/>
      <c r="N25" s="208"/>
      <c r="O25" s="207"/>
    </row>
    <row r="26" spans="1:15" s="210" customFormat="1" ht="11.25">
      <c r="A26" s="207"/>
      <c r="B26" s="198">
        <f t="shared" si="1"/>
        <v>43209</v>
      </c>
      <c r="C26" s="199">
        <f t="shared" si="0"/>
        <v>5</v>
      </c>
      <c r="D26" s="200">
        <v>0</v>
      </c>
      <c r="E26" s="200">
        <v>0</v>
      </c>
      <c r="F26" s="268">
        <f t="shared" si="2"/>
        <v>0</v>
      </c>
      <c r="G26" s="200"/>
      <c r="H26" s="269">
        <f t="shared" si="3"/>
        <v>0</v>
      </c>
      <c r="I26" s="271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197"/>
      <c r="K26" s="208"/>
      <c r="L26" s="208"/>
      <c r="M26" s="208"/>
      <c r="N26" s="208"/>
      <c r="O26" s="207"/>
    </row>
    <row r="27" spans="1:15" s="210" customFormat="1" ht="11.25">
      <c r="A27" s="207"/>
      <c r="B27" s="198">
        <f t="shared" si="1"/>
        <v>43210</v>
      </c>
      <c r="C27" s="199">
        <f t="shared" si="0"/>
        <v>6</v>
      </c>
      <c r="D27" s="200">
        <v>0</v>
      </c>
      <c r="E27" s="200">
        <v>0</v>
      </c>
      <c r="F27" s="268">
        <f t="shared" si="2"/>
        <v>0</v>
      </c>
      <c r="G27" s="200"/>
      <c r="H27" s="269">
        <f t="shared" si="3"/>
        <v>0</v>
      </c>
      <c r="I27" s="271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197"/>
      <c r="K27" s="208"/>
      <c r="L27" s="208"/>
      <c r="M27" s="208"/>
      <c r="N27" s="208"/>
      <c r="O27" s="207"/>
    </row>
    <row r="28" spans="1:15" s="210" customFormat="1" ht="11.25">
      <c r="A28" s="207"/>
      <c r="B28" s="198">
        <f t="shared" si="1"/>
        <v>43211</v>
      </c>
      <c r="C28" s="199">
        <f t="shared" si="0"/>
        <v>7</v>
      </c>
      <c r="D28" s="200">
        <v>0</v>
      </c>
      <c r="E28" s="200">
        <v>0</v>
      </c>
      <c r="F28" s="268">
        <f t="shared" si="2"/>
        <v>0</v>
      </c>
      <c r="G28" s="200"/>
      <c r="H28" s="269">
        <f t="shared" si="3"/>
        <v>0</v>
      </c>
      <c r="I28" s="271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197"/>
      <c r="K28" s="208"/>
      <c r="L28" s="208"/>
      <c r="M28" s="208"/>
      <c r="N28" s="208"/>
      <c r="O28" s="207"/>
    </row>
    <row r="29" spans="1:15" s="210" customFormat="1" ht="11.25">
      <c r="A29" s="207"/>
      <c r="B29" s="198">
        <f t="shared" si="1"/>
        <v>43212</v>
      </c>
      <c r="C29" s="199">
        <f t="shared" si="0"/>
        <v>1</v>
      </c>
      <c r="D29" s="200">
        <v>0</v>
      </c>
      <c r="E29" s="200">
        <v>0</v>
      </c>
      <c r="F29" s="268">
        <f t="shared" si="2"/>
        <v>0</v>
      </c>
      <c r="G29" s="200"/>
      <c r="H29" s="269">
        <f t="shared" si="3"/>
        <v>0</v>
      </c>
      <c r="I29" s="271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197"/>
      <c r="K29" s="208"/>
      <c r="L29" s="208"/>
      <c r="M29" s="208"/>
      <c r="N29" s="208"/>
      <c r="O29" s="207"/>
    </row>
    <row r="30" spans="1:15" s="210" customFormat="1" ht="11.25">
      <c r="A30" s="207"/>
      <c r="B30" s="198">
        <f t="shared" si="1"/>
        <v>43213</v>
      </c>
      <c r="C30" s="199">
        <f t="shared" si="0"/>
        <v>2</v>
      </c>
      <c r="D30" s="200">
        <v>0</v>
      </c>
      <c r="E30" s="200">
        <v>0</v>
      </c>
      <c r="F30" s="268">
        <f t="shared" si="2"/>
        <v>0</v>
      </c>
      <c r="G30" s="200"/>
      <c r="H30" s="269">
        <f t="shared" si="3"/>
        <v>0</v>
      </c>
      <c r="I30" s="271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197"/>
      <c r="K30" s="208"/>
      <c r="L30" s="208"/>
      <c r="M30" s="208"/>
      <c r="N30" s="208"/>
      <c r="O30" s="207"/>
    </row>
    <row r="31" spans="1:15" s="210" customFormat="1" ht="11.25">
      <c r="A31" s="207"/>
      <c r="B31" s="198">
        <f t="shared" si="1"/>
        <v>43214</v>
      </c>
      <c r="C31" s="199">
        <f t="shared" si="0"/>
        <v>3</v>
      </c>
      <c r="D31" s="200">
        <v>0</v>
      </c>
      <c r="E31" s="200">
        <v>0</v>
      </c>
      <c r="F31" s="268">
        <f t="shared" si="2"/>
        <v>0</v>
      </c>
      <c r="G31" s="200"/>
      <c r="H31" s="269">
        <f t="shared" si="3"/>
        <v>0</v>
      </c>
      <c r="I31" s="271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197"/>
      <c r="K31" s="208"/>
      <c r="L31" s="208"/>
      <c r="M31" s="208"/>
      <c r="N31" s="208"/>
      <c r="O31" s="207"/>
    </row>
    <row r="32" spans="1:15" s="210" customFormat="1" ht="11.25">
      <c r="A32" s="207"/>
      <c r="B32" s="198">
        <f t="shared" si="1"/>
        <v>43215</v>
      </c>
      <c r="C32" s="199">
        <f t="shared" si="0"/>
        <v>4</v>
      </c>
      <c r="D32" s="200">
        <v>0</v>
      </c>
      <c r="E32" s="200">
        <v>0</v>
      </c>
      <c r="F32" s="268">
        <f t="shared" si="2"/>
        <v>0</v>
      </c>
      <c r="G32" s="200"/>
      <c r="H32" s="269">
        <f t="shared" si="3"/>
        <v>0</v>
      </c>
      <c r="I32" s="271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197"/>
      <c r="K32" s="208"/>
      <c r="L32" s="208"/>
      <c r="M32" s="208"/>
      <c r="N32" s="208"/>
      <c r="O32" s="207"/>
    </row>
    <row r="33" spans="1:15" s="210" customFormat="1" ht="11.25">
      <c r="A33" s="207"/>
      <c r="B33" s="198">
        <f t="shared" si="1"/>
        <v>43216</v>
      </c>
      <c r="C33" s="199">
        <f t="shared" si="0"/>
        <v>5</v>
      </c>
      <c r="D33" s="200">
        <v>0</v>
      </c>
      <c r="E33" s="200">
        <v>0</v>
      </c>
      <c r="F33" s="268">
        <f t="shared" si="2"/>
        <v>0</v>
      </c>
      <c r="G33" s="200"/>
      <c r="H33" s="269">
        <f t="shared" si="3"/>
        <v>0</v>
      </c>
      <c r="I33" s="271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197"/>
      <c r="K33" s="208"/>
      <c r="L33" s="208"/>
      <c r="M33" s="208"/>
      <c r="N33" s="208"/>
      <c r="O33" s="207"/>
    </row>
    <row r="34" spans="1:15" s="210" customFormat="1" ht="11.25">
      <c r="A34" s="207"/>
      <c r="B34" s="198">
        <f t="shared" si="1"/>
        <v>43217</v>
      </c>
      <c r="C34" s="199">
        <f t="shared" si="0"/>
        <v>6</v>
      </c>
      <c r="D34" s="200">
        <v>0</v>
      </c>
      <c r="E34" s="200">
        <v>0</v>
      </c>
      <c r="F34" s="268">
        <f t="shared" si="2"/>
        <v>0</v>
      </c>
      <c r="G34" s="200"/>
      <c r="H34" s="269">
        <f t="shared" si="3"/>
        <v>0</v>
      </c>
      <c r="I34" s="271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197"/>
      <c r="K34" s="208"/>
      <c r="L34" s="208"/>
      <c r="M34" s="208"/>
      <c r="N34" s="208"/>
      <c r="O34" s="207"/>
    </row>
    <row r="35" spans="1:15" s="210" customFormat="1" ht="11.25">
      <c r="A35" s="207"/>
      <c r="B35" s="198">
        <f t="shared" si="1"/>
        <v>43218</v>
      </c>
      <c r="C35" s="199">
        <f t="shared" si="0"/>
        <v>7</v>
      </c>
      <c r="D35" s="200">
        <v>0</v>
      </c>
      <c r="E35" s="200">
        <v>0</v>
      </c>
      <c r="F35" s="268">
        <f t="shared" si="2"/>
        <v>0</v>
      </c>
      <c r="G35" s="200"/>
      <c r="H35" s="269">
        <f t="shared" si="3"/>
        <v>0</v>
      </c>
      <c r="I35" s="271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197"/>
      <c r="K35" s="208"/>
      <c r="L35" s="208"/>
      <c r="M35" s="208"/>
      <c r="N35" s="208"/>
      <c r="O35" s="207"/>
    </row>
    <row r="36" spans="1:15" s="210" customFormat="1" ht="11.25">
      <c r="A36" s="207"/>
      <c r="B36" s="198">
        <f t="shared" si="1"/>
        <v>43219</v>
      </c>
      <c r="C36" s="199">
        <f t="shared" si="0"/>
        <v>1</v>
      </c>
      <c r="D36" s="200">
        <v>0</v>
      </c>
      <c r="E36" s="200">
        <v>0</v>
      </c>
      <c r="F36" s="268">
        <f t="shared" si="2"/>
        <v>0</v>
      </c>
      <c r="G36" s="200"/>
      <c r="H36" s="269">
        <f t="shared" si="3"/>
        <v>0</v>
      </c>
      <c r="I36" s="271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197"/>
      <c r="K36" s="208"/>
      <c r="L36" s="208"/>
      <c r="M36" s="208"/>
      <c r="N36" s="208"/>
      <c r="O36" s="207"/>
    </row>
    <row r="37" spans="1:15" s="210" customFormat="1" ht="11.25">
      <c r="A37" s="207"/>
      <c r="B37" s="198">
        <f t="shared" si="1"/>
        <v>43220</v>
      </c>
      <c r="C37" s="199">
        <f t="shared" si="0"/>
        <v>2</v>
      </c>
      <c r="D37" s="200">
        <v>0</v>
      </c>
      <c r="E37" s="200">
        <v>0</v>
      </c>
      <c r="F37" s="268">
        <f t="shared" si="2"/>
        <v>0</v>
      </c>
      <c r="G37" s="200"/>
      <c r="H37" s="269">
        <f t="shared" si="3"/>
        <v>0</v>
      </c>
      <c r="I37" s="271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197"/>
      <c r="K37" s="208"/>
      <c r="L37" s="208"/>
      <c r="M37" s="208"/>
      <c r="N37" s="208"/>
      <c r="O37" s="207"/>
    </row>
    <row r="38" spans="1:15" s="210" customFormat="1" ht="12" customHeight="1">
      <c r="A38" s="207"/>
      <c r="B38" s="198"/>
      <c r="C38" s="216"/>
      <c r="D38" s="275"/>
      <c r="E38" s="591"/>
      <c r="F38" s="198"/>
      <c r="G38" s="198"/>
      <c r="H38" s="266"/>
      <c r="I38" s="198"/>
      <c r="J38" s="244"/>
      <c r="K38" s="208"/>
      <c r="L38" s="208"/>
      <c r="M38" s="208"/>
      <c r="N38" s="208"/>
      <c r="O38" s="207"/>
    </row>
    <row r="39" spans="1:15" s="210" customFormat="1" ht="12" customHeight="1">
      <c r="A39" s="211"/>
      <c r="B39" s="188"/>
      <c r="C39" s="188"/>
      <c r="D39" s="577" t="s">
        <v>88</v>
      </c>
      <c r="E39" s="578"/>
      <c r="F39" s="270">
        <f>SUM(F7:F38)</f>
        <v>0</v>
      </c>
      <c r="G39" s="281"/>
      <c r="H39" s="270">
        <f>SUM(H8:H38)</f>
        <v>0</v>
      </c>
      <c r="I39" s="272">
        <f>SUM(I8:I38)</f>
        <v>0</v>
      </c>
      <c r="J39" s="244"/>
      <c r="K39" s="208"/>
      <c r="L39" s="208"/>
      <c r="M39" s="208"/>
      <c r="N39" s="208"/>
      <c r="O39" s="207"/>
    </row>
    <row r="40" spans="1:15" s="210" customFormat="1" ht="12" customHeight="1">
      <c r="A40" s="211"/>
      <c r="B40" s="188"/>
      <c r="C40" s="657" t="s">
        <v>318</v>
      </c>
      <c r="D40" s="657"/>
      <c r="E40" s="658"/>
      <c r="F40" s="576">
        <f>SUM(H39,PRODUCT(SUM(J40,J42,J43),Stammdaten!H28))</f>
        <v>0</v>
      </c>
      <c r="G40" s="664" t="s">
        <v>90</v>
      </c>
      <c r="H40" s="665"/>
      <c r="I40" s="666"/>
      <c r="J40" s="204">
        <f>COUNTIF(J8:J38,"u")</f>
        <v>0</v>
      </c>
      <c r="K40" s="208"/>
      <c r="L40" s="208"/>
      <c r="M40" s="208"/>
      <c r="N40" s="208"/>
      <c r="O40" s="207"/>
    </row>
    <row r="41" spans="1:15" s="210" customFormat="1" ht="11.25">
      <c r="A41" s="211"/>
      <c r="B41" s="592">
        <f>Ostern(gewJahr)</f>
        <v>43191</v>
      </c>
      <c r="C41" s="659" t="s">
        <v>117</v>
      </c>
      <c r="D41" s="659"/>
      <c r="E41" s="660"/>
      <c r="F41" s="282">
        <v>0</v>
      </c>
      <c r="G41" s="650" t="s">
        <v>115</v>
      </c>
      <c r="H41" s="651"/>
      <c r="I41" s="652"/>
      <c r="J41" s="205">
        <f>März!J41-J40</f>
        <v>25</v>
      </c>
      <c r="K41" s="208"/>
      <c r="L41" s="208"/>
      <c r="M41" s="208"/>
      <c r="N41" s="208"/>
      <c r="O41" s="207"/>
    </row>
    <row r="42" spans="1:15" s="210" customFormat="1" ht="11.25">
      <c r="A42" s="211"/>
      <c r="B42" s="188"/>
      <c r="C42" s="615" t="s">
        <v>121</v>
      </c>
      <c r="D42" s="615"/>
      <c r="E42" s="661"/>
      <c r="F42" s="283">
        <v>0</v>
      </c>
      <c r="G42" s="664" t="s">
        <v>91</v>
      </c>
      <c r="H42" s="665"/>
      <c r="I42" s="666"/>
      <c r="J42" s="206">
        <f>COUNTIF(J8:J38,"k")</f>
        <v>0</v>
      </c>
      <c r="K42" s="193"/>
      <c r="L42" s="212"/>
      <c r="M42" s="197">
        <f>COUNTIF(M8:M38,"k")</f>
        <v>0</v>
      </c>
      <c r="N42" s="208"/>
      <c r="O42" s="207"/>
    </row>
    <row r="43" spans="1:15" s="210" customFormat="1" ht="11.25">
      <c r="A43" s="211"/>
      <c r="B43" s="188"/>
      <c r="C43" s="662" t="s">
        <v>122</v>
      </c>
      <c r="D43" s="662"/>
      <c r="E43" s="663"/>
      <c r="F43" s="284">
        <v>0</v>
      </c>
      <c r="G43" s="664" t="s">
        <v>116</v>
      </c>
      <c r="H43" s="640"/>
      <c r="I43" s="640"/>
      <c r="J43" s="197">
        <f>COUNTIF(J8:J38,"nu")</f>
        <v>0</v>
      </c>
      <c r="K43" s="208"/>
      <c r="L43" s="208"/>
      <c r="M43" s="208"/>
      <c r="N43" s="208"/>
      <c r="O43" s="207"/>
    </row>
    <row r="44" spans="1:15" s="210" customFormat="1" ht="12.75">
      <c r="A44" s="211"/>
      <c r="B44" s="188"/>
      <c r="C44" s="615" t="str">
        <f>Stammdaten!$F$23</f>
        <v>Sonderschicht I</v>
      </c>
      <c r="D44" s="615"/>
      <c r="E44" s="661"/>
      <c r="F44" s="283">
        <v>0</v>
      </c>
      <c r="H44" s="81"/>
      <c r="I44" s="5"/>
      <c r="J44" s="5"/>
      <c r="K44" s="208"/>
      <c r="L44" s="208"/>
      <c r="M44" s="208"/>
      <c r="N44" s="208"/>
      <c r="O44" s="207"/>
    </row>
    <row r="45" spans="1:15" s="210" customFormat="1" ht="11.25">
      <c r="A45" s="211"/>
      <c r="B45" s="188"/>
      <c r="C45" s="615" t="str">
        <f>Stammdaten!$G$24</f>
        <v>Sonderschicht II</v>
      </c>
      <c r="D45" s="615"/>
      <c r="E45" s="661"/>
      <c r="F45" s="283">
        <v>0</v>
      </c>
      <c r="G45" s="193"/>
      <c r="H45" s="485"/>
      <c r="I45" s="492"/>
      <c r="J45" s="211"/>
      <c r="K45" s="208"/>
      <c r="L45" s="208"/>
      <c r="M45" s="208"/>
      <c r="N45" s="208"/>
      <c r="O45" s="207"/>
    </row>
    <row r="46" spans="1:14" ht="11.25" customHeight="1">
      <c r="A46" s="165"/>
      <c r="B46" s="182"/>
      <c r="C46" s="653" t="s">
        <v>183</v>
      </c>
      <c r="D46" s="653"/>
      <c r="E46" s="654"/>
      <c r="F46" s="274">
        <f>$I$39</f>
        <v>0</v>
      </c>
      <c r="G46" s="183"/>
      <c r="H46" s="81"/>
      <c r="I46" s="5"/>
      <c r="J46" s="5"/>
      <c r="K46" s="77"/>
      <c r="L46" s="65"/>
      <c r="M46" s="65"/>
      <c r="N46" s="65"/>
    </row>
    <row r="47" spans="2:14" ht="12.75">
      <c r="B47" s="182"/>
      <c r="C47" s="655" t="s">
        <v>33</v>
      </c>
      <c r="D47" s="655"/>
      <c r="E47" s="656"/>
      <c r="F47" s="564">
        <f>Arbeitszeitübersicht!D8/24</f>
        <v>0.4791666666666667</v>
      </c>
      <c r="G47" s="222"/>
      <c r="H47" s="81"/>
      <c r="I47" s="5"/>
      <c r="J47" s="5"/>
      <c r="K47" s="5"/>
      <c r="L47" s="77"/>
      <c r="M47" s="77"/>
      <c r="N47" s="77"/>
    </row>
    <row r="48" spans="2:14" ht="12.75">
      <c r="B48" s="4"/>
      <c r="C48" s="4"/>
      <c r="D48" s="4"/>
      <c r="E48" s="4"/>
      <c r="F48" s="4"/>
      <c r="H48" s="4"/>
      <c r="I48" s="102"/>
      <c r="J48" s="11"/>
      <c r="K48" s="11"/>
      <c r="L48" s="5"/>
      <c r="N48" s="101"/>
    </row>
    <row r="49" spans="2:12" ht="12.75">
      <c r="B49" s="5"/>
      <c r="C49" s="665"/>
      <c r="D49" s="665"/>
      <c r="E49" s="459" t="s">
        <v>251</v>
      </c>
      <c r="F49" s="460"/>
      <c r="G49" s="457"/>
      <c r="H49" s="458"/>
      <c r="I49" s="457"/>
      <c r="J49" s="457"/>
      <c r="K49" s="5"/>
      <c r="L49" s="4"/>
    </row>
    <row r="50" spans="2:12" ht="12.75">
      <c r="B50" s="4"/>
      <c r="C50" s="11"/>
      <c r="D50" s="669"/>
      <c r="E50" s="669"/>
      <c r="F50" s="669"/>
      <c r="G50" s="11"/>
      <c r="H50" s="77"/>
      <c r="I50" s="11"/>
      <c r="J50" s="5"/>
      <c r="K50" s="5"/>
      <c r="L50" s="4"/>
    </row>
    <row r="51" spans="2:14" ht="12.75">
      <c r="B51" s="4"/>
      <c r="C51" s="5"/>
      <c r="D51" s="13"/>
      <c r="E51" s="11"/>
      <c r="F51" s="13"/>
      <c r="G51" s="13"/>
      <c r="H51" s="100"/>
      <c r="I51" s="100"/>
      <c r="J51" s="5"/>
      <c r="K51" s="5"/>
      <c r="L51" s="4"/>
      <c r="M51" s="101"/>
      <c r="N51" s="101"/>
    </row>
    <row r="52" spans="2:14" ht="12.75">
      <c r="B52" s="4"/>
      <c r="C52" s="4"/>
      <c r="D52" s="5"/>
      <c r="E52" s="11"/>
      <c r="F52" s="13"/>
      <c r="G52" s="13"/>
      <c r="H52" s="81"/>
      <c r="I52" s="5"/>
      <c r="J52" s="5"/>
      <c r="K52" s="5"/>
      <c r="L52" s="4"/>
      <c r="N52" s="101"/>
    </row>
    <row r="53" spans="2:12" ht="12.75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4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.5" customHeight="1"/>
  </sheetData>
  <sheetProtection/>
  <mergeCells count="16">
    <mergeCell ref="C44:E44"/>
    <mergeCell ref="C45:E45"/>
    <mergeCell ref="C46:E46"/>
    <mergeCell ref="C47:E47"/>
    <mergeCell ref="C49:D49"/>
    <mergeCell ref="D50:F50"/>
    <mergeCell ref="C40:E40"/>
    <mergeCell ref="G40:I40"/>
    <mergeCell ref="C41:E41"/>
    <mergeCell ref="C42:E42"/>
    <mergeCell ref="C43:E43"/>
    <mergeCell ref="J2:J6"/>
    <mergeCell ref="G42:I42"/>
    <mergeCell ref="G43:I43"/>
    <mergeCell ref="B7:C7"/>
    <mergeCell ref="G41:I41"/>
  </mergeCells>
  <conditionalFormatting sqref="I8:I37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10:B37">
    <cfRule type="expression" priority="3" dxfId="10" stopIfTrue="1">
      <formula>OR($B10=$B$41,$B10=$B$41+1,$B10=$B$41-2)</formula>
    </cfRule>
    <cfRule type="expression" priority="4" dxfId="0" stopIfTrue="1">
      <formula>WEEKDAY($B10)=1</formula>
    </cfRule>
    <cfRule type="expression" priority="5" dxfId="1" stopIfTrue="1">
      <formula>WEEKDAY($B10)=7</formula>
    </cfRule>
  </conditionalFormatting>
  <conditionalFormatting sqref="C8:C37">
    <cfRule type="expression" priority="6" dxfId="10" stopIfTrue="1">
      <formula>OR($B8=$B$41,$B8=$B$41+1,$B8=$B$41-2)</formula>
    </cfRule>
    <cfRule type="expression" priority="7" dxfId="0" stopIfTrue="1">
      <formula>WEEKDAY($B8)=1</formula>
    </cfRule>
    <cfRule type="expression" priority="8" dxfId="1" stopIfTrue="1">
      <formula>WEEKDAY($B8)=7</formula>
    </cfRule>
  </conditionalFormatting>
  <conditionalFormatting sqref="B8">
    <cfRule type="expression" priority="12" dxfId="10" stopIfTrue="1">
      <formula>OR($B8=$B$41,$B8=$B$41+1,$B8=$B$41-2)</formula>
    </cfRule>
    <cfRule type="expression" priority="13" dxfId="138" stopIfTrue="1">
      <formula>WEEKDAY($B8)=1</formula>
    </cfRule>
    <cfRule type="expression" priority="14" dxfId="1" stopIfTrue="1">
      <formula>WEEKDAY($B8)=7</formula>
    </cfRule>
  </conditionalFormatting>
  <conditionalFormatting sqref="B9">
    <cfRule type="expression" priority="15" dxfId="10" stopIfTrue="1">
      <formula>OR($B9=$B$41,$B9=$B$41+1,$B9=$B$41-2)</formula>
    </cfRule>
    <cfRule type="expression" priority="16" dxfId="0" stopIfTrue="1">
      <formula>WEEKDAY($B9)=1</formula>
    </cfRule>
    <cfRule type="expression" priority="17" dxfId="1" stopIfTrue="1">
      <formula>WEEKDAY($B9)=7</formula>
    </cfRule>
  </conditionalFormatting>
  <conditionalFormatting sqref="B8:H37">
    <cfRule type="expression" priority="9" dxfId="10" stopIfTrue="1">
      <formula>OR($B8=$B$41,$B8=$B$41+1,$B8=$B$41-2)</formula>
    </cfRule>
    <cfRule type="expression" priority="10" dxfId="1" stopIfTrue="1">
      <formula>WEEKDAY($B8)=7</formula>
    </cfRule>
    <cfRule type="expression" priority="11" dxfId="0" stopIfTrue="1">
      <formula>WEEKDAY($B8)=1</formula>
    </cfRule>
  </conditionalFormatting>
  <dataValidations count="1">
    <dataValidation type="list" allowBlank="1" showInputMessage="1" showErrorMessage="1" sqref="J8:J37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Arbeitszeiterfassung mit Gehaltsabrechnung 2014</dc:title>
  <dc:subject/>
  <dc:creator>Gossens/Parmentier</dc:creator>
  <cp:keywords/>
  <dc:description/>
  <cp:lastModifiedBy>johannes</cp:lastModifiedBy>
  <cp:lastPrinted>2013-04-27T14:36:01Z</cp:lastPrinted>
  <dcterms:created xsi:type="dcterms:W3CDTF">2000-03-16T14:16:40Z</dcterms:created>
  <dcterms:modified xsi:type="dcterms:W3CDTF">2018-06-25T08:38:55Z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