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20" windowHeight="8190" activeTab="0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<sst xmlns="http://schemas.openxmlformats.org/spreadsheetml/2006/main" count="627" uniqueCount="320">
  <si>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</si>
  <si>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</si>
  <si>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</si>
  <si>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</si>
  <si>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</si>
  <si>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</si>
  <si>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</si>
  <si>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</si>
  <si>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</si>
  <si>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</si>
  <si>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</si>
  <si>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</si>
  <si>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</si>
  <si>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</si>
  <si>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</si>
  <si>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</si>
  <si>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</si>
  <si>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</si>
  <si>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</si>
  <si>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</si>
  <si>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</si>
  <si>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</si>
  <si>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</si>
  <si>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</si>
  <si>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</si>
  <si>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</si>
  <si>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</si>
  <si>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</si>
  <si>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</si>
  <si>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</si>
  <si>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</si>
  <si>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</si>
  <si>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</si>
  <si>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</si>
  <si>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</si>
  <si>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</si>
  <si>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</si>
  <si>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</si>
  <si>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</si>
  <si>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</si>
  <si>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</si>
  <si>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</si>
  <si>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</si>
  <si>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</si>
  <si>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</si>
  <si>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</si>
  <si>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</si>
  <si>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</si>
  <si>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</si>
  <si>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</si>
  <si>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</si>
  <si>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</si>
  <si>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</si>
  <si>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</si>
  <si>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</si>
  <si>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</si>
  <si>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</si>
  <si>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</si>
  <si>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</si>
  <si>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</si>
  <si>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</si>
  <si>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</si>
  <si>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</si>
  <si>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</si>
  <si>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</si>
  <si>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</si>
  <si>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</si>
  <si>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</si>
  <si>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</si>
  <si>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</si>
  <si>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</si>
  <si>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</si>
  <si>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</si>
  <si>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</si>
  <si>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</si>
  <si>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</si>
  <si>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</si>
  <si>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</si>
  <si>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</si>
  <si>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</si>
  <si>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</si>
  <si>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</si>
  <si>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</si>
  <si>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</si>
  <si>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</si>
  <si>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</si>
  <si>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</si>
  <si>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</si>
  <si>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</si>
  <si>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</si>
  <si>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</si>
  <si>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</si>
  <si>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</si>
  <si>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</si>
  <si>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</si>
  <si>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</si>
  <si>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</si>
  <si>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</si>
  <si>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</si>
  <si>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</si>
  <si>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</si>
  <si>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</si>
  <si>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</si>
  <si>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</si>
  <si>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</si>
  <si>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</si>
  <si>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</si>
  <si>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</si>
  <si>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</si>
  <si>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</si>
  <si>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</si>
  <si>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</si>
  <si>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</si>
  <si>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verbl. Urlaubstage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</si>
  <si>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</si>
  <si>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</si>
  <si>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</si>
  <si>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</si>
  <si>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</si>
  <si>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</si>
  <si>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</si>
  <si>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</si>
  <si>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</si>
  <si>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</si>
  <si>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</si>
  <si>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</si>
  <si>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</si>
  <si>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</si>
  <si>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</si>
  <si>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</si>
  <si>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</si>
  <si>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</si>
  <si>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</si>
  <si>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</si>
  <si>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</si>
  <si>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</si>
  <si>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</si>
  <si>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</si>
  <si>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</si>
  <si>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</si>
  <si>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</si>
  <si>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</si>
  <si>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</si>
  <si>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</si>
  <si>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</si>
  <si>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</si>
  <si>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</si>
  <si>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</si>
  <si>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</si>
  <si>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</si>
  <si>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</si>
  <si>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</si>
  <si>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</si>
  <si>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</si>
  <si>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</si>
  <si>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</si>
  <si>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</si>
  <si>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</si>
  <si>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</si>
  <si>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</si>
  <si>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</si>
  <si>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</si>
  <si>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</si>
  <si>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</si>
  <si>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</si>
  <si>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</si>
  <si>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</si>
  <si>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</si>
  <si>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</si>
  <si>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</si>
  <si>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</si>
  <si>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</si>
  <si>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</si>
  <si>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</si>
  <si>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</si>
  <si>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</si>
  <si>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</si>
  <si>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</si>
  <si>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</si>
  <si>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</si>
  <si>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</si>
  <si>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</si>
  <si>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</si>
  <si>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</si>
  <si>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</si>
  <si>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</si>
  <si>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</si>
  <si>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</si>
  <si>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</si>
  <si>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</si>
  <si>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</si>
  <si>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</si>
  <si>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</si>
  <si>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</si>
  <si>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</si>
  <si>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</si>
  <si>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</si>
  <si>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</si>
  <si>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</si>
  <si>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</si>
  <si>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</si>
  <si>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</si>
  <si>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</si>
  <si>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</si>
  <si>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</si>
  <si>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</si>
  <si>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</si>
  <si>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</si>
  <si>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</si>
  <si>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</si>
  <si>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</si>
  <si>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</si>
  <si>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</si>
  <si>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</si>
  <si>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</si>
  <si>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</si>
  <si>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</si>
  <si>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</si>
  <si>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</si>
  <si>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</si>
  <si>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</si>
  <si>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</si>
  <si>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</si>
  <si>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</si>
  <si>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</si>
  <si>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</si>
  <si>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</si>
  <si>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</si>
  <si>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</si>
  <si>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</si>
  <si>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</si>
  <si>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</si>
  <si>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</si>
  <si>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</si>
  <si>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</si>
  <si>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</si>
  <si>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</si>
  <si>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</si>
  <si>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</si>
  <si>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</si>
  <si>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</si>
  <si>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</si>
  <si>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</si>
  <si>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</si>
  <si>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</si>
  <si>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</si>
  <si>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</si>
  <si>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</si>
  <si>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</si>
  <si>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</si>
  <si>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</si>
  <si>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</si>
  <si>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</si>
  <si>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</si>
  <si>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Gehalt/Bruttolohn</t>
  </si>
  <si>
    <t xml:space="preserve">  der Bruttolohn errechnet.</t>
  </si>
  <si>
    <t>- Tabelle ist mit AutoForm geschütz. Zum Kopieren der Zellfunktionen Bereich mit rechter Maustaste aktivieren und wegschieben</t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</si>
  <si>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</si>
  <si>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</si>
  <si>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</si>
  <si>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</si>
  <si>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</si>
  <si>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</si>
  <si>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</si>
  <si>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</si>
  <si>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</si>
  <si>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</si>
  <si>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</si>
  <si>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</si>
  <si>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</si>
  <si>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</si>
  <si>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</si>
  <si>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</si>
  <si>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</si>
  <si>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</si>
  <si>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</si>
  <si>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</si>
  <si>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</si>
  <si>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</si>
  <si>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</si>
  <si>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</si>
  <si>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</si>
  <si>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</si>
  <si>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</si>
  <si>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</si>
  <si>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Steuerklasse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</si>
  <si>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</si>
  <si>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</si>
  <si>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</si>
  <si>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</si>
  <si>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</si>
  <si>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</si>
  <si>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</si>
  <si>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</si>
  <si>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</si>
  <si>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</si>
  <si>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</si>
  <si>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</si>
  <si>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</si>
  <si>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</si>
  <si>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</si>
  <si>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r>
      <rPr>
        <b/>
        <sz val="10"/>
        <rFont val="Arial"/>
        <family val="2"/>
      </rPr>
      <t>KV-Zusatzbeitrag</t>
    </r>
    <r>
      <rPr>
        <sz val="10"/>
        <rFont val="Arial"/>
        <family val="2"/>
      </rPr>
      <t xml:space="preserve"> % </t>
    </r>
    <r>
      <rPr>
        <b/>
        <sz val="10"/>
        <color indexed="60"/>
        <rFont val="Arial"/>
        <family val="2"/>
      </rPr>
      <t xml:space="preserve">bzw. PKV Basistarif </t>
    </r>
    <r>
      <rPr>
        <sz val="10"/>
        <color indexed="60"/>
        <rFont val="Arial"/>
        <family val="2"/>
      </rPr>
      <t>(incl. PV)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</si>
  <si>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Zur Sicherheit mindesten  2 x 'neu berechnen'</t>
  </si>
  <si>
    <t>anklicken (bis Werte unverändert bleiben).</t>
  </si>
  <si>
    <t>steuer@parmentier.de</t>
  </si>
  <si>
    <t xml:space="preserve">  Statt dem Monatslohn werden vom Programm die Arbeitsstunden übernommen und mit dem Stundenlohn</t>
  </si>
  <si>
    <t xml:space="preserve">  jedoch die Steuerberechnung. </t>
  </si>
  <si>
    <t>9,3 % Rentenversicherung</t>
  </si>
  <si>
    <t>St./Urlaubst. berechn.:</t>
  </si>
  <si>
    <t>Gesamtst. + Urlaub + Krank</t>
  </si>
  <si>
    <t>Insolvenzumlage 0,06%</t>
  </si>
  <si>
    <r>
      <t>Gleitzone (450-1300 €)</t>
    </r>
    <r>
      <rPr>
        <sz val="10"/>
        <rFont val="Arial"/>
        <family val="0"/>
      </rPr>
      <t xml:space="preserve"> nein=0, ja=1</t>
    </r>
  </si>
  <si>
    <t xml:space="preserve">Version 27.12.2019        </t>
  </si>
  <si>
    <t xml:space="preserve">- Programm ist für 2020 angepasst. Durch Eingabe einer anderen Jahreszahl werden die Arbeitsmappen, d.h. vor </t>
  </si>
  <si>
    <t xml:space="preserve">  eingetragen. Dies erfolgt mit einem Makro (Teil des Makro Gehaltsrechner 2020). Die jeweiligen Monatswerte werden beim </t>
  </si>
  <si>
    <t xml:space="preserve">  mit Zellfunktionen z.B aus dem Stammdaten-Blatt übernommen, bzw. mit Makro aus dem Gehaltsrechner 2020-Makro hinein-</t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</si>
  <si>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2020 eine Gleitzone von 450.01-1300 €. Bei Eingabe von '2' werden nach der Berechnungs-</t>
    </r>
  </si>
  <si>
    <t>Lohn-/Gehaltsabrechnung 2020 Gleitzonenberechnung</t>
  </si>
  <si>
    <t>(davon sozialversicherungspflichtig) 795,33 €</t>
  </si>
  <si>
    <t>1,2% Arbeitslosenversicherung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</si>
</sst>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\€"/>
    <numFmt numFmtId="175" formatCode="dd/mm"/>
    <numFmt numFmtId="176" formatCode="0.000"/>
    <numFmt numFmtId="177" formatCode="ddd"/>
    <numFmt numFmtId="178" formatCode="yyyy"/>
    <numFmt numFmtId="179" formatCode="[hh]:mm"/>
    <numFmt numFmtId="180" formatCode="_-* #,##0.00\ [$€-1]_-;\-* #,##0.00\ [$€-1]_-;_-* &quot;-&quot;??\ [$€-1]_-"/>
    <numFmt numFmtId="181" formatCode="d/m/yyyy"/>
    <numFmt numFmtId="182" formatCode="h:mm"/>
    <numFmt numFmtId="183" formatCode="#,##0.00\ &quot;€&quot;"/>
    <numFmt numFmtId="184" formatCode="ddd\ \ \ dd/mmm"/>
    <numFmt numFmtId="185" formatCode="dd\ ddd"/>
    <numFmt numFmtId="186" formatCode="d/m"/>
    <numFmt numFmtId="187" formatCode="d/\ mmm/\ yyyy"/>
    <numFmt numFmtId="188" formatCode="0.0"/>
    <numFmt numFmtId="189" formatCode="#,##0_ ;\-#,##0\ "/>
    <numFmt numFmtId="190" formatCode="#,##0.00\ _€"/>
    <numFmt numFmtId="191" formatCode="#,##0.00\ [$€-1];\-#,##0.00\ [$€-1]"/>
    <numFmt numFmtId="192" formatCode="[h]:mm"/>
    <numFmt numFmtId="193" formatCode="[$-F400]h:mm:ss\ AM/PM"/>
    <numFmt numFmtId="194" formatCode="h:mm;@"/>
    <numFmt numFmtId="195" formatCode="[$-407]dddd\,\ d\.\ mmmm\ yyyy"/>
    <numFmt numFmtId="196" formatCode="#,##0.00_ ;\-#,##0.00\ "/>
  </numFmts>
  <fonts count="10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8"/>
      <color indexed="9"/>
      <name val="Arial"/>
      <family val="2"/>
    </font>
    <font>
      <sz val="8"/>
      <name val="Segoe U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0" borderId="3" applyNumberFormat="0" applyFill="0" applyAlignment="0" applyProtection="0"/>
    <xf numFmtId="0" fontId="9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9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21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5" fillId="33" borderId="10" applyNumberFormat="0" applyAlignment="0" applyProtection="0"/>
  </cellStyleXfs>
  <cellXfs count="676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4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81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81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2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6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5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2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6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6" fontId="31" fillId="0" borderId="28" xfId="0" applyNumberFormat="1" applyFont="1" applyBorder="1" applyAlignment="1">
      <alignment/>
    </xf>
    <xf numFmtId="186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6" fontId="31" fillId="0" borderId="30" xfId="0" applyNumberFormat="1" applyFont="1" applyBorder="1" applyAlignment="1">
      <alignment/>
    </xf>
    <xf numFmtId="185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5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5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2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182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4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2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2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81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4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7" fontId="32" fillId="41" borderId="0" xfId="0" applyNumberFormat="1" applyFont="1" applyFill="1" applyBorder="1" applyAlignment="1" applyProtection="1">
      <alignment horizontal="left"/>
      <protection/>
    </xf>
    <xf numFmtId="181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6" fontId="0" fillId="41" borderId="0" xfId="0" applyNumberFormat="1" applyFill="1" applyBorder="1" applyAlignment="1">
      <alignment/>
    </xf>
    <xf numFmtId="184" fontId="0" fillId="41" borderId="0" xfId="0" applyNumberFormat="1" applyFont="1" applyFill="1" applyBorder="1" applyAlignment="1" applyProtection="1">
      <alignment horizontal="left"/>
      <protection locked="0"/>
    </xf>
    <xf numFmtId="184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81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8" fontId="13" fillId="41" borderId="0" xfId="0" applyNumberFormat="1" applyFont="1" applyFill="1" applyAlignment="1">
      <alignment/>
    </xf>
    <xf numFmtId="181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5" fontId="0" fillId="42" borderId="31" xfId="0" applyNumberFormat="1" applyFont="1" applyFill="1" applyBorder="1" applyAlignment="1">
      <alignment horizontal="left" vertical="top"/>
    </xf>
    <xf numFmtId="185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5" fontId="0" fillId="42" borderId="33" xfId="0" applyNumberFormat="1" applyFont="1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5" fontId="0" fillId="35" borderId="36" xfId="0" applyNumberFormat="1" applyFont="1" applyFill="1" applyBorder="1" applyAlignment="1">
      <alignment horizontal="left" vertical="top"/>
    </xf>
    <xf numFmtId="185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31" fillId="35" borderId="39" xfId="0" applyFont="1" applyFill="1" applyBorder="1" applyAlignment="1">
      <alignment horizontal="center" vertical="center" wrapText="1"/>
    </xf>
    <xf numFmtId="185" fontId="31" fillId="35" borderId="32" xfId="0" applyNumberFormat="1" applyFont="1" applyFill="1" applyBorder="1" applyAlignment="1">
      <alignment horizontal="center" vertical="top"/>
    </xf>
    <xf numFmtId="185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8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5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2" fontId="34" fillId="35" borderId="0" xfId="0" applyNumberFormat="1" applyFont="1" applyFill="1" applyBorder="1" applyAlignment="1">
      <alignment/>
    </xf>
    <xf numFmtId="181" fontId="34" fillId="41" borderId="0" xfId="0" applyNumberFormat="1" applyFont="1" applyFill="1" applyAlignment="1" applyProtection="1">
      <alignment horizontal="right"/>
      <protection/>
    </xf>
    <xf numFmtId="181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5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5" fontId="43" fillId="42" borderId="44" xfId="0" applyNumberFormat="1" applyFont="1" applyFill="1" applyBorder="1" applyAlignment="1" applyProtection="1">
      <alignment horizontal="center"/>
      <protection/>
    </xf>
    <xf numFmtId="177" fontId="43" fillId="42" borderId="45" xfId="0" applyNumberFormat="1" applyFont="1" applyFill="1" applyBorder="1" applyAlignment="1">
      <alignment horizontal="left"/>
    </xf>
    <xf numFmtId="0" fontId="44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5" fontId="10" fillId="35" borderId="47" xfId="0" applyNumberFormat="1" applyFont="1" applyFill="1" applyBorder="1" applyAlignment="1" applyProtection="1">
      <alignment horizontal="center"/>
      <protection/>
    </xf>
    <xf numFmtId="177" fontId="10" fillId="35" borderId="48" xfId="0" applyNumberFormat="1" applyFont="1" applyFill="1" applyBorder="1" applyAlignment="1">
      <alignment horizontal="left"/>
    </xf>
    <xf numFmtId="182" fontId="10" fillId="0" borderId="48" xfId="0" applyNumberFormat="1" applyFont="1" applyFill="1" applyBorder="1" applyAlignment="1">
      <alignment horizontal="center"/>
    </xf>
    <xf numFmtId="0" fontId="45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0" fontId="10" fillId="35" borderId="50" xfId="0" applyFont="1" applyFill="1" applyBorder="1" applyAlignment="1">
      <alignment horizontal="right"/>
    </xf>
    <xf numFmtId="0" fontId="38" fillId="35" borderId="9" xfId="0" applyFont="1" applyFill="1" applyBorder="1" applyAlignment="1">
      <alignment horizontal="right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7" fontId="10" fillId="0" borderId="48" xfId="0" applyNumberFormat="1" applyFont="1" applyFill="1" applyBorder="1" applyAlignment="1">
      <alignment horizontal="left"/>
    </xf>
    <xf numFmtId="175" fontId="10" fillId="35" borderId="44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center"/>
      <protection/>
    </xf>
    <xf numFmtId="0" fontId="46" fillId="41" borderId="0" xfId="0" applyFont="1" applyFill="1" applyAlignment="1">
      <alignment horizontal="left"/>
    </xf>
    <xf numFmtId="0" fontId="46" fillId="41" borderId="0" xfId="0" applyFont="1" applyFill="1" applyBorder="1" applyAlignment="1">
      <alignment horizontal="right"/>
    </xf>
    <xf numFmtId="175" fontId="10" fillId="42" borderId="44" xfId="0" applyNumberFormat="1" applyFont="1" applyFill="1" applyBorder="1" applyAlignment="1" applyProtection="1">
      <alignment horizontal="center"/>
      <protection/>
    </xf>
    <xf numFmtId="177" fontId="10" fillId="42" borderId="48" xfId="0" applyNumberFormat="1" applyFont="1" applyFill="1" applyBorder="1" applyAlignment="1">
      <alignment horizontal="left"/>
    </xf>
    <xf numFmtId="182" fontId="10" fillId="42" borderId="48" xfId="0" applyNumberFormat="1" applyFont="1" applyFill="1" applyBorder="1" applyAlignment="1">
      <alignment horizontal="center"/>
    </xf>
    <xf numFmtId="182" fontId="10" fillId="35" borderId="0" xfId="0" applyNumberFormat="1" applyFont="1" applyFill="1" applyBorder="1" applyAlignment="1">
      <alignment/>
    </xf>
    <xf numFmtId="175" fontId="10" fillId="0" borderId="47" xfId="0" applyNumberFormat="1" applyFont="1" applyBorder="1" applyAlignment="1" applyProtection="1">
      <alignment horizontal="center"/>
      <protection/>
    </xf>
    <xf numFmtId="177" fontId="10" fillId="35" borderId="48" xfId="0" applyNumberFormat="1" applyFont="1" applyFill="1" applyBorder="1" applyAlignment="1" applyProtection="1">
      <alignment horizontal="left"/>
      <protection/>
    </xf>
    <xf numFmtId="182" fontId="10" fillId="35" borderId="48" xfId="0" applyNumberFormat="1" applyFont="1" applyFill="1" applyBorder="1" applyAlignment="1" applyProtection="1">
      <alignment horizontal="center"/>
      <protection/>
    </xf>
    <xf numFmtId="175" fontId="10" fillId="42" borderId="47" xfId="0" applyNumberFormat="1" applyFont="1" applyFill="1" applyBorder="1" applyAlignment="1" applyProtection="1">
      <alignment horizontal="center"/>
      <protection/>
    </xf>
    <xf numFmtId="182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6" fontId="6" fillId="0" borderId="51" xfId="0" applyNumberFormat="1" applyFont="1" applyBorder="1" applyAlignment="1">
      <alignment/>
    </xf>
    <xf numFmtId="188" fontId="0" fillId="41" borderId="42" xfId="0" applyNumberFormat="1" applyFill="1" applyBorder="1" applyAlignment="1">
      <alignment/>
    </xf>
    <xf numFmtId="188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49" fillId="0" borderId="23" xfId="0" applyFont="1" applyFill="1" applyBorder="1" applyAlignment="1" applyProtection="1">
      <alignment horizontal="right"/>
      <protection hidden="1"/>
    </xf>
    <xf numFmtId="0" fontId="50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2" fontId="0" fillId="0" borderId="53" xfId="0" applyNumberFormat="1" applyFill="1" applyBorder="1" applyAlignment="1" applyProtection="1">
      <alignment horizontal="center"/>
      <protection locked="0"/>
    </xf>
    <xf numFmtId="0" fontId="0" fillId="35" borderId="50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1" fillId="0" borderId="54" xfId="0" applyFont="1" applyFill="1" applyBorder="1" applyAlignment="1" applyProtection="1">
      <alignment horizontal="right"/>
      <protection hidden="1"/>
    </xf>
    <xf numFmtId="0" fontId="51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2" fillId="0" borderId="54" xfId="0" applyFont="1" applyFill="1" applyBorder="1" applyAlignment="1" applyProtection="1">
      <alignment horizontal="right"/>
      <protection hidden="1"/>
    </xf>
    <xf numFmtId="0" fontId="52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2" fillId="0" borderId="62" xfId="0" applyNumberFormat="1" applyFont="1" applyFill="1" applyBorder="1" applyAlignment="1" applyProtection="1">
      <alignment/>
      <protection hidden="1"/>
    </xf>
    <xf numFmtId="1" fontId="52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2" fontId="45" fillId="42" borderId="11" xfId="0" applyNumberFormat="1" applyFont="1" applyFill="1" applyBorder="1" applyAlignment="1" quotePrefix="1">
      <alignment horizontal="center"/>
    </xf>
    <xf numFmtId="192" fontId="45" fillId="0" borderId="11" xfId="0" applyNumberFormat="1" applyFont="1" applyFill="1" applyBorder="1" applyAlignment="1" quotePrefix="1">
      <alignment horizontal="center"/>
    </xf>
    <xf numFmtId="192" fontId="10" fillId="0" borderId="49" xfId="0" applyNumberFormat="1" applyFont="1" applyFill="1" applyBorder="1" applyAlignment="1" quotePrefix="1">
      <alignment horizontal="center"/>
    </xf>
    <xf numFmtId="192" fontId="10" fillId="35" borderId="42" xfId="0" applyNumberFormat="1" applyFont="1" applyFill="1" applyBorder="1" applyAlignment="1">
      <alignment horizontal="center"/>
    </xf>
    <xf numFmtId="192" fontId="44" fillId="0" borderId="46" xfId="0" applyNumberFormat="1" applyFont="1" applyFill="1" applyBorder="1" applyAlignment="1" quotePrefix="1">
      <alignment horizontal="center"/>
    </xf>
    <xf numFmtId="192" fontId="44" fillId="36" borderId="46" xfId="0" applyNumberFormat="1" applyFont="1" applyFill="1" applyBorder="1" applyAlignment="1" quotePrefix="1">
      <alignment horizontal="center"/>
    </xf>
    <xf numFmtId="192" fontId="10" fillId="42" borderId="49" xfId="0" applyNumberFormat="1" applyFont="1" applyFill="1" applyBorder="1" applyAlignment="1" quotePrefix="1">
      <alignment horizontal="center"/>
    </xf>
    <xf numFmtId="192" fontId="10" fillId="44" borderId="9" xfId="0" applyNumberFormat="1" applyFont="1" applyFill="1" applyBorder="1" applyAlignment="1">
      <alignment horizontal="center"/>
    </xf>
    <xf numFmtId="192" fontId="10" fillId="35" borderId="67" xfId="0" applyNumberFormat="1" applyFont="1" applyFill="1" applyBorder="1" applyAlignment="1" applyProtection="1">
      <alignment horizontal="center"/>
      <protection/>
    </xf>
    <xf numFmtId="192" fontId="43" fillId="42" borderId="11" xfId="0" applyNumberFormat="1" applyFont="1" applyFill="1" applyBorder="1" applyAlignment="1" applyProtection="1">
      <alignment horizontal="center"/>
      <protection locked="0"/>
    </xf>
    <xf numFmtId="192" fontId="43" fillId="42" borderId="49" xfId="0" applyNumberFormat="1" applyFont="1" applyFill="1" applyBorder="1" applyAlignment="1" quotePrefix="1">
      <alignment horizontal="center"/>
    </xf>
    <xf numFmtId="192" fontId="10" fillId="0" borderId="48" xfId="0" applyNumberFormat="1" applyFont="1" applyFill="1" applyBorder="1" applyAlignment="1">
      <alignment horizontal="center"/>
    </xf>
    <xf numFmtId="192" fontId="10" fillId="35" borderId="48" xfId="0" applyNumberFormat="1" applyFont="1" applyFill="1" applyBorder="1" applyAlignment="1">
      <alignment horizontal="center"/>
    </xf>
    <xf numFmtId="192" fontId="10" fillId="35" borderId="48" xfId="0" applyNumberFormat="1" applyFont="1" applyFill="1" applyBorder="1" applyAlignment="1">
      <alignment horizontal="left"/>
    </xf>
    <xf numFmtId="192" fontId="10" fillId="35" borderId="0" xfId="0" applyNumberFormat="1" applyFont="1" applyFill="1" applyBorder="1" applyAlignment="1">
      <alignment/>
    </xf>
    <xf numFmtId="192" fontId="10" fillId="42" borderId="9" xfId="0" applyNumberFormat="1" applyFont="1" applyFill="1" applyBorder="1" applyAlignment="1">
      <alignment horizontal="center"/>
    </xf>
    <xf numFmtId="192" fontId="10" fillId="41" borderId="9" xfId="0" applyNumberFormat="1" applyFont="1" applyFill="1" applyBorder="1" applyAlignment="1">
      <alignment horizontal="center"/>
    </xf>
    <xf numFmtId="192" fontId="10" fillId="34" borderId="9" xfId="0" applyNumberFormat="1" applyFont="1" applyFill="1" applyBorder="1" applyAlignment="1">
      <alignment horizontal="center"/>
    </xf>
    <xf numFmtId="192" fontId="28" fillId="0" borderId="13" xfId="0" applyNumberFormat="1" applyFont="1" applyFill="1" applyBorder="1" applyAlignment="1" applyProtection="1">
      <alignment/>
      <protection hidden="1"/>
    </xf>
    <xf numFmtId="192" fontId="28" fillId="0" borderId="68" xfId="0" applyNumberFormat="1" applyFont="1" applyFill="1" applyBorder="1" applyAlignment="1" applyProtection="1">
      <alignment/>
      <protection hidden="1"/>
    </xf>
    <xf numFmtId="192" fontId="50" fillId="0" borderId="13" xfId="0" applyNumberFormat="1" applyFont="1" applyFill="1" applyBorder="1" applyAlignment="1" applyProtection="1">
      <alignment/>
      <protection hidden="1"/>
    </xf>
    <xf numFmtId="192" fontId="50" fillId="0" borderId="69" xfId="0" applyNumberFormat="1" applyFont="1" applyFill="1" applyBorder="1" applyAlignment="1" applyProtection="1">
      <alignment/>
      <protection hidden="1"/>
    </xf>
    <xf numFmtId="192" fontId="28" fillId="0" borderId="69" xfId="0" applyNumberFormat="1" applyFont="1" applyFill="1" applyBorder="1" applyAlignment="1" applyProtection="1">
      <alignment/>
      <protection hidden="1"/>
    </xf>
    <xf numFmtId="192" fontId="51" fillId="0" borderId="70" xfId="0" applyNumberFormat="1" applyFont="1" applyFill="1" applyBorder="1" applyAlignment="1" applyProtection="1">
      <alignment/>
      <protection hidden="1"/>
    </xf>
    <xf numFmtId="192" fontId="51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2" fillId="35" borderId="29" xfId="54" applyFont="1" applyFill="1" applyBorder="1" applyAlignment="1" applyProtection="1">
      <alignment horizontal="right"/>
      <protection locked="0"/>
    </xf>
    <xf numFmtId="1" fontId="53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81" fontId="0" fillId="0" borderId="51" xfId="0" applyNumberFormat="1" applyBorder="1" applyAlignment="1">
      <alignment/>
    </xf>
    <xf numFmtId="0" fontId="54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2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2" fillId="0" borderId="77" xfId="0" applyNumberFormat="1" applyFont="1" applyFill="1" applyBorder="1" applyAlignment="1" applyProtection="1">
      <alignment/>
      <protection hidden="1"/>
    </xf>
    <xf numFmtId="183" fontId="10" fillId="0" borderId="0" xfId="0" applyNumberFormat="1" applyFont="1" applyAlignment="1">
      <alignment/>
    </xf>
    <xf numFmtId="183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3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6" fillId="0" borderId="0" xfId="0" applyFont="1" applyAlignment="1">
      <alignment/>
    </xf>
    <xf numFmtId="0" fontId="57" fillId="43" borderId="0" xfId="0" applyFont="1" applyFill="1" applyAlignment="1">
      <alignment/>
    </xf>
    <xf numFmtId="14" fontId="57" fillId="43" borderId="0" xfId="0" applyNumberFormat="1" applyFont="1" applyFill="1" applyAlignment="1">
      <alignment horizontal="center"/>
    </xf>
    <xf numFmtId="0" fontId="57" fillId="43" borderId="0" xfId="0" applyFont="1" applyFill="1" applyAlignment="1">
      <alignment horizontal="center"/>
    </xf>
    <xf numFmtId="0" fontId="58" fillId="43" borderId="0" xfId="0" applyFont="1" applyFill="1" applyAlignment="1">
      <alignment/>
    </xf>
    <xf numFmtId="192" fontId="50" fillId="0" borderId="78" xfId="0" applyNumberFormat="1" applyFont="1" applyFill="1" applyBorder="1" applyAlignment="1" applyProtection="1">
      <alignment/>
      <protection hidden="1"/>
    </xf>
    <xf numFmtId="192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2" fontId="28" fillId="0" borderId="79" xfId="0" applyNumberFormat="1" applyFont="1" applyFill="1" applyBorder="1" applyAlignment="1" applyProtection="1">
      <alignment/>
      <protection hidden="1"/>
    </xf>
    <xf numFmtId="192" fontId="50" fillId="0" borderId="79" xfId="0" applyNumberFormat="1" applyFont="1" applyFill="1" applyBorder="1" applyAlignment="1" applyProtection="1">
      <alignment/>
      <protection hidden="1"/>
    </xf>
    <xf numFmtId="192" fontId="28" fillId="0" borderId="51" xfId="0" applyNumberFormat="1" applyFont="1" applyFill="1" applyBorder="1" applyAlignment="1" applyProtection="1">
      <alignment/>
      <protection hidden="1"/>
    </xf>
    <xf numFmtId="192" fontId="6" fillId="0" borderId="79" xfId="0" applyNumberFormat="1" applyFont="1" applyFill="1" applyBorder="1" applyAlignment="1" applyProtection="1">
      <alignment/>
      <protection hidden="1"/>
    </xf>
    <xf numFmtId="192" fontId="6" fillId="0" borderId="80" xfId="0" applyNumberFormat="1" applyFont="1" applyFill="1" applyBorder="1" applyAlignment="1" applyProtection="1">
      <alignment/>
      <protection hidden="1"/>
    </xf>
    <xf numFmtId="192" fontId="28" fillId="0" borderId="81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3" fontId="62" fillId="45" borderId="9" xfId="46" applyNumberFormat="1" applyFont="1" applyFill="1" applyBorder="1" applyAlignment="1" applyProtection="1">
      <alignment/>
      <protection/>
    </xf>
    <xf numFmtId="183" fontId="62" fillId="45" borderId="9" xfId="61" applyNumberFormat="1" applyFont="1" applyFill="1" applyBorder="1" applyAlignment="1" applyProtection="1">
      <alignment/>
      <protection/>
    </xf>
    <xf numFmtId="180" fontId="62" fillId="45" borderId="9" xfId="46" applyFont="1" applyFill="1" applyBorder="1" applyAlignment="1" applyProtection="1">
      <alignment/>
      <protection locked="0"/>
    </xf>
    <xf numFmtId="0" fontId="42" fillId="35" borderId="0" xfId="0" applyFont="1" applyFill="1" applyAlignment="1" applyProtection="1">
      <alignment horizontal="centerContinuous"/>
      <protection/>
    </xf>
    <xf numFmtId="172" fontId="42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2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59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81" fontId="62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2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2" fillId="35" borderId="9" xfId="61" applyNumberFormat="1" applyFont="1" applyFill="1" applyBorder="1" applyAlignment="1" applyProtection="1">
      <alignment horizontal="center"/>
      <protection/>
    </xf>
    <xf numFmtId="0" fontId="62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2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2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2" fontId="62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3" fontId="62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3" fontId="62" fillId="35" borderId="28" xfId="46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3" fontId="62" fillId="35" borderId="9" xfId="0" applyNumberFormat="1" applyFont="1" applyFill="1" applyBorder="1" applyAlignment="1" applyProtection="1">
      <alignment horizontal="center"/>
      <protection/>
    </xf>
    <xf numFmtId="7" fontId="62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3" fontId="61" fillId="35" borderId="9" xfId="46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2" fontId="62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2" fontId="62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91" fontId="62" fillId="35" borderId="9" xfId="46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80" fontId="62" fillId="35" borderId="9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8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80" fontId="61" fillId="35" borderId="42" xfId="46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2" fontId="62" fillId="35" borderId="28" xfId="61" applyFont="1" applyFill="1" applyBorder="1" applyAlignment="1" applyProtection="1">
      <alignment/>
      <protection/>
    </xf>
    <xf numFmtId="183" fontId="62" fillId="35" borderId="29" xfId="61" applyNumberFormat="1" applyFont="1" applyFill="1" applyBorder="1" applyAlignment="1" applyProtection="1">
      <alignment horizontal="center"/>
      <protection locked="0"/>
    </xf>
    <xf numFmtId="183" fontId="0" fillId="35" borderId="51" xfId="61" applyNumberFormat="1" applyFont="1" applyFill="1" applyBorder="1" applyAlignment="1" applyProtection="1">
      <alignment/>
      <protection locked="0"/>
    </xf>
    <xf numFmtId="7" fontId="62" fillId="35" borderId="38" xfId="0" applyNumberFormat="1" applyFont="1" applyFill="1" applyBorder="1" applyAlignment="1" applyProtection="1">
      <alignment horizontal="right"/>
      <protection locked="0"/>
    </xf>
    <xf numFmtId="183" fontId="62" fillId="35" borderId="37" xfId="0" applyNumberFormat="1" applyFont="1" applyFill="1" applyBorder="1" applyAlignment="1" applyProtection="1">
      <alignment horizontal="center"/>
      <protection/>
    </xf>
    <xf numFmtId="183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3" fontId="0" fillId="35" borderId="12" xfId="0" applyNumberFormat="1" applyFill="1" applyBorder="1" applyAlignment="1" applyProtection="1">
      <alignment/>
      <protection/>
    </xf>
    <xf numFmtId="180" fontId="62" fillId="35" borderId="28" xfId="46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0" fontId="62" fillId="35" borderId="0" xfId="46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2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65" fillId="35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6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59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2" fillId="35" borderId="0" xfId="0" applyFont="1" applyFill="1" applyBorder="1" applyAlignment="1" applyProtection="1">
      <alignment horizontal="left"/>
      <protection hidden="1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43" borderId="0" xfId="0" applyFont="1" applyFill="1" applyAlignment="1" quotePrefix="1">
      <alignment horizontal="left" vertical="top"/>
    </xf>
    <xf numFmtId="194" fontId="45" fillId="0" borderId="11" xfId="0" applyNumberFormat="1" applyFont="1" applyFill="1" applyBorder="1" applyAlignment="1" quotePrefix="1">
      <alignment horizontal="center"/>
    </xf>
    <xf numFmtId="174" fontId="0" fillId="47" borderId="11" xfId="0" applyNumberFormat="1" applyFill="1" applyBorder="1" applyAlignment="1" applyProtection="1">
      <alignment horizontal="center"/>
      <protection locked="0"/>
    </xf>
    <xf numFmtId="0" fontId="0" fillId="48" borderId="0" xfId="0" applyFill="1" applyAlignment="1">
      <alignment/>
    </xf>
    <xf numFmtId="192" fontId="62" fillId="35" borderId="9" xfId="61" applyNumberFormat="1" applyFont="1" applyFill="1" applyBorder="1" applyAlignment="1" applyProtection="1">
      <alignment/>
      <protection/>
    </xf>
    <xf numFmtId="192" fontId="62" fillId="35" borderId="29" xfId="61" applyNumberFormat="1" applyFont="1" applyFill="1" applyBorder="1" applyAlignment="1" applyProtection="1">
      <alignment horizontal="center"/>
      <protection locked="0"/>
    </xf>
    <xf numFmtId="192" fontId="62" fillId="35" borderId="37" xfId="0" applyNumberFormat="1" applyFont="1" applyFill="1" applyBorder="1" applyAlignment="1" applyProtection="1">
      <alignment horizontal="center"/>
      <protection/>
    </xf>
    <xf numFmtId="192" fontId="62" fillId="35" borderId="9" xfId="0" applyNumberFormat="1" applyFont="1" applyFill="1" applyBorder="1" applyAlignment="1" applyProtection="1">
      <alignment horizontal="center"/>
      <protection/>
    </xf>
    <xf numFmtId="180" fontId="62" fillId="49" borderId="9" xfId="46" applyFont="1" applyFill="1" applyBorder="1" applyAlignment="1" applyProtection="1">
      <alignment/>
      <protection locked="0"/>
    </xf>
    <xf numFmtId="192" fontId="62" fillId="49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91" fontId="62" fillId="35" borderId="42" xfId="46" applyNumberFormat="1" applyFont="1" applyFill="1" applyBorder="1" applyAlignment="1" applyProtection="1">
      <alignment horizontal="right"/>
      <protection locked="0"/>
    </xf>
    <xf numFmtId="191" fontId="61" fillId="35" borderId="9" xfId="46" applyNumberFormat="1" applyFont="1" applyFill="1" applyBorder="1" applyAlignment="1" applyProtection="1">
      <alignment/>
      <protection locked="0"/>
    </xf>
    <xf numFmtId="191" fontId="61" fillId="35" borderId="9" xfId="46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 horizontal="center" vertical="center"/>
      <protection locked="0"/>
    </xf>
    <xf numFmtId="0" fontId="0" fillId="50" borderId="0" xfId="0" applyFill="1" applyAlignment="1">
      <alignment horizontal="center" vertical="center"/>
    </xf>
    <xf numFmtId="0" fontId="68" fillId="35" borderId="0" xfId="0" applyFont="1" applyFill="1" applyBorder="1" applyAlignment="1" applyProtection="1">
      <alignment/>
      <protection/>
    </xf>
    <xf numFmtId="174" fontId="0" fillId="0" borderId="83" xfId="0" applyNumberFormat="1" applyFill="1" applyBorder="1" applyAlignment="1" applyProtection="1">
      <alignment horizontal="center"/>
      <protection locked="0"/>
    </xf>
    <xf numFmtId="174" fontId="0" fillId="0" borderId="84" xfId="0" applyNumberFormat="1" applyFill="1" applyBorder="1" applyAlignment="1" applyProtection="1">
      <alignment horizontal="center"/>
      <protection locked="0"/>
    </xf>
    <xf numFmtId="174" fontId="0" fillId="0" borderId="42" xfId="0" applyNumberFormat="1" applyFill="1" applyBorder="1" applyAlignment="1" applyProtection="1">
      <alignment horizontal="center"/>
      <protection locked="0"/>
    </xf>
    <xf numFmtId="192" fontId="62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0" fillId="50" borderId="0" xfId="0" applyFill="1" applyBorder="1" applyAlignment="1" applyProtection="1">
      <alignment horizontal="right"/>
      <protection locked="0"/>
    </xf>
    <xf numFmtId="0" fontId="0" fillId="51" borderId="0" xfId="0" applyFont="1" applyFill="1" applyBorder="1" applyAlignment="1">
      <alignment horizontal="right"/>
    </xf>
    <xf numFmtId="172" fontId="62" fillId="35" borderId="9" xfId="61" applyFont="1" applyFill="1" applyBorder="1" applyAlignment="1" applyProtection="1">
      <alignment/>
      <protection/>
    </xf>
    <xf numFmtId="0" fontId="69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0" borderId="0" xfId="0" applyFont="1" applyFill="1" applyAlignment="1">
      <alignment/>
    </xf>
    <xf numFmtId="19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3" fontId="62" fillId="49" borderId="9" xfId="0" applyNumberFormat="1" applyFont="1" applyFill="1" applyBorder="1" applyAlignment="1" applyProtection="1">
      <alignment horizontal="center"/>
      <protection/>
    </xf>
    <xf numFmtId="7" fontId="62" fillId="49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1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4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4" fontId="0" fillId="41" borderId="27" xfId="0" applyNumberFormat="1" applyFont="1" applyFill="1" applyBorder="1" applyAlignment="1" applyProtection="1">
      <alignment horizontal="left"/>
      <protection locked="0"/>
    </xf>
    <xf numFmtId="184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4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4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50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50" borderId="29" xfId="0" applyFill="1" applyBorder="1" applyAlignment="1" applyProtection="1">
      <alignment horizontal="right"/>
      <protection locked="0"/>
    </xf>
    <xf numFmtId="0" fontId="0" fillId="50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8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80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80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8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2" fillId="35" borderId="9" xfId="0" applyNumberFormat="1" applyFont="1" applyFill="1" applyBorder="1" applyAlignment="1" applyProtection="1">
      <alignment horizontal="right"/>
      <protection locked="0"/>
    </xf>
    <xf numFmtId="192" fontId="10" fillId="5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3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3" fontId="0" fillId="35" borderId="0" xfId="0" applyNumberFormat="1" applyFill="1" applyAlignment="1" applyProtection="1">
      <alignment horizontal="center"/>
      <protection/>
    </xf>
    <xf numFmtId="183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0" fontId="0" fillId="0" borderId="50" xfId="0" applyFill="1" applyBorder="1" applyAlignment="1">
      <alignment horizontal="left" vertical="top"/>
    </xf>
    <xf numFmtId="0" fontId="0" fillId="0" borderId="42" xfId="0" applyFill="1" applyBorder="1" applyAlignment="1">
      <alignment/>
    </xf>
    <xf numFmtId="0" fontId="0" fillId="41" borderId="28" xfId="0" applyFont="1" applyFill="1" applyBorder="1" applyAlignment="1" applyProtection="1">
      <alignment horizontal="right"/>
      <protection locked="0"/>
    </xf>
    <xf numFmtId="192" fontId="10" fillId="13" borderId="42" xfId="0" applyNumberFormat="1" applyFont="1" applyFill="1" applyBorder="1" applyAlignment="1">
      <alignment horizontal="center"/>
    </xf>
    <xf numFmtId="0" fontId="10" fillId="35" borderId="37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192" fontId="0" fillId="0" borderId="28" xfId="0" applyNumberFormat="1" applyFill="1" applyBorder="1" applyAlignment="1">
      <alignment horizontal="left" vertical="top"/>
    </xf>
    <xf numFmtId="192" fontId="10" fillId="52" borderId="5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192" fontId="10" fillId="0" borderId="0" xfId="0" applyNumberFormat="1" applyFont="1" applyFill="1" applyBorder="1" applyAlignment="1" applyProtection="1">
      <alignment horizontal="center"/>
      <protection/>
    </xf>
    <xf numFmtId="0" fontId="10" fillId="35" borderId="9" xfId="0" applyFont="1" applyFill="1" applyBorder="1" applyAlignment="1">
      <alignment horizontal="center"/>
    </xf>
    <xf numFmtId="175" fontId="10" fillId="0" borderId="47" xfId="0" applyNumberFormat="1" applyFont="1" applyFill="1" applyBorder="1" applyAlignment="1" applyProtection="1">
      <alignment horizontal="center"/>
      <protection/>
    </xf>
    <xf numFmtId="175" fontId="10" fillId="9" borderId="47" xfId="0" applyNumberFormat="1" applyFont="1" applyFill="1" applyBorder="1" applyAlignment="1" applyProtection="1">
      <alignment horizontal="center"/>
      <protection/>
    </xf>
    <xf numFmtId="177" fontId="10" fillId="9" borderId="48" xfId="0" applyNumberFormat="1" applyFont="1" applyFill="1" applyBorder="1" applyAlignment="1">
      <alignment horizontal="left"/>
    </xf>
    <xf numFmtId="182" fontId="10" fillId="9" borderId="48" xfId="0" applyNumberFormat="1" applyFont="1" applyFill="1" applyBorder="1" applyAlignment="1">
      <alignment horizontal="center"/>
    </xf>
    <xf numFmtId="192" fontId="45" fillId="9" borderId="11" xfId="0" applyNumberFormat="1" applyFont="1" applyFill="1" applyBorder="1" applyAlignment="1" quotePrefix="1">
      <alignment horizontal="center"/>
    </xf>
    <xf numFmtId="192" fontId="10" fillId="9" borderId="49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179" fontId="10" fillId="35" borderId="47" xfId="0" applyNumberFormat="1" applyFont="1" applyFill="1" applyBorder="1" applyAlignment="1" applyProtection="1">
      <alignment horizontal="center"/>
      <protection/>
    </xf>
    <xf numFmtId="175" fontId="106" fillId="35" borderId="0" xfId="0" applyNumberFormat="1" applyFont="1" applyFill="1" applyBorder="1" applyAlignment="1" applyProtection="1">
      <alignment horizontal="center"/>
      <protection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41" borderId="0" xfId="49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4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4" fontId="70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3" borderId="27" xfId="0" applyFont="1" applyFill="1" applyBorder="1" applyAlignment="1" applyProtection="1">
      <alignment horizontal="right"/>
      <protection locked="0"/>
    </xf>
    <xf numFmtId="0" fontId="0" fillId="53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67" fillId="48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50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14" fillId="5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0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4" fillId="54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54" borderId="89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50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1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0" fillId="35" borderId="27" xfId="0" applyFont="1" applyFill="1" applyBorder="1" applyAlignment="1">
      <alignment horizontal="right"/>
    </xf>
    <xf numFmtId="0" fontId="10" fillId="50" borderId="0" xfId="0" applyFont="1" applyFill="1" applyBorder="1" applyAlignment="1">
      <alignment horizontal="right"/>
    </xf>
    <xf numFmtId="0" fontId="10" fillId="35" borderId="28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50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NumberFormat="1" applyFont="1" applyFill="1" applyAlignment="1" applyProtection="1">
      <alignment horizontal="right"/>
      <protection hidden="1"/>
    </xf>
    <xf numFmtId="175" fontId="33" fillId="35" borderId="29" xfId="0" applyNumberFormat="1" applyFont="1" applyFill="1" applyBorder="1" applyAlignment="1">
      <alignment horizontal="center" vertical="center" wrapText="1"/>
    </xf>
    <xf numFmtId="175" fontId="33" fillId="35" borderId="30" xfId="0" applyNumberFormat="1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right"/>
    </xf>
    <xf numFmtId="0" fontId="38" fillId="35" borderId="0" xfId="0" applyFont="1" applyFill="1" applyBorder="1" applyAlignment="1">
      <alignment horizontal="right"/>
    </xf>
    <xf numFmtId="0" fontId="38" fillId="35" borderId="28" xfId="0" applyFont="1" applyFill="1" applyBorder="1" applyAlignment="1">
      <alignment horizontal="right"/>
    </xf>
    <xf numFmtId="0" fontId="10" fillId="44" borderId="0" xfId="0" applyFont="1" applyFill="1" applyBorder="1" applyAlignment="1">
      <alignment horizontal="center"/>
    </xf>
    <xf numFmtId="0" fontId="10" fillId="44" borderId="28" xfId="0" applyFont="1" applyFill="1" applyBorder="1" applyAlignment="1">
      <alignment horizontal="center"/>
    </xf>
    <xf numFmtId="0" fontId="10" fillId="55" borderId="0" xfId="0" applyFont="1" applyFill="1" applyBorder="1" applyAlignment="1">
      <alignment horizontal="center"/>
    </xf>
    <xf numFmtId="0" fontId="10" fillId="55" borderId="28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13" borderId="28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10" fillId="42" borderId="28" xfId="0" applyFont="1" applyFill="1" applyBorder="1" applyAlignment="1">
      <alignment horizontal="center"/>
    </xf>
    <xf numFmtId="0" fontId="10" fillId="41" borderId="28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75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9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9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67.emf" /><Relationship Id="rId5" Type="http://schemas.openxmlformats.org/officeDocument/2006/relationships/image" Target="../media/image3.emf" /><Relationship Id="rId6" Type="http://schemas.openxmlformats.org/officeDocument/2006/relationships/image" Target="../media/image51.emf" /><Relationship Id="rId7" Type="http://schemas.openxmlformats.org/officeDocument/2006/relationships/image" Target="../media/image16.emf" /><Relationship Id="rId8" Type="http://schemas.openxmlformats.org/officeDocument/2006/relationships/image" Target="../media/image50.emf" /><Relationship Id="rId9" Type="http://schemas.openxmlformats.org/officeDocument/2006/relationships/image" Target="../media/image5.emf" /><Relationship Id="rId10" Type="http://schemas.openxmlformats.org/officeDocument/2006/relationships/image" Target="../media/image24.emf" /><Relationship Id="rId11" Type="http://schemas.openxmlformats.org/officeDocument/2006/relationships/image" Target="../media/image13.emf" /><Relationship Id="rId12" Type="http://schemas.openxmlformats.org/officeDocument/2006/relationships/image" Target="../media/image30.emf" /><Relationship Id="rId13" Type="http://schemas.openxmlformats.org/officeDocument/2006/relationships/image" Target="../media/image7.emf" /><Relationship Id="rId14" Type="http://schemas.openxmlformats.org/officeDocument/2006/relationships/image" Target="../media/image69.emf" /><Relationship Id="rId15" Type="http://schemas.openxmlformats.org/officeDocument/2006/relationships/image" Target="../media/image43.emf" /><Relationship Id="rId16" Type="http://schemas.openxmlformats.org/officeDocument/2006/relationships/image" Target="../media/image3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1.emf" /><Relationship Id="rId3" Type="http://schemas.openxmlformats.org/officeDocument/2006/relationships/image" Target="../media/image6.emf" /><Relationship Id="rId4" Type="http://schemas.openxmlformats.org/officeDocument/2006/relationships/image" Target="../media/image1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7.emf" /><Relationship Id="rId3" Type="http://schemas.openxmlformats.org/officeDocument/2006/relationships/image" Target="../media/image44.emf" /><Relationship Id="rId4" Type="http://schemas.openxmlformats.org/officeDocument/2006/relationships/image" Target="../media/image3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7.emf" /><Relationship Id="rId3" Type="http://schemas.openxmlformats.org/officeDocument/2006/relationships/image" Target="../media/image49.emf" /><Relationship Id="rId4" Type="http://schemas.openxmlformats.org/officeDocument/2006/relationships/image" Target="../media/image3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17.emf" /><Relationship Id="rId3" Type="http://schemas.openxmlformats.org/officeDocument/2006/relationships/image" Target="../media/image2.emf" /><Relationship Id="rId4" Type="http://schemas.openxmlformats.org/officeDocument/2006/relationships/image" Target="../media/image1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52.emf" /><Relationship Id="rId3" Type="http://schemas.openxmlformats.org/officeDocument/2006/relationships/image" Target="../media/image33.emf" /><Relationship Id="rId4" Type="http://schemas.openxmlformats.org/officeDocument/2006/relationships/image" Target="../media/image3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12.emf" /><Relationship Id="rId3" Type="http://schemas.openxmlformats.org/officeDocument/2006/relationships/image" Target="../media/image48.emf" /><Relationship Id="rId4" Type="http://schemas.openxmlformats.org/officeDocument/2006/relationships/image" Target="../media/image1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.emf" /><Relationship Id="rId3" Type="http://schemas.openxmlformats.org/officeDocument/2006/relationships/image" Target="../media/image64.emf" /><Relationship Id="rId4" Type="http://schemas.openxmlformats.org/officeDocument/2006/relationships/image" Target="../media/image4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3.emf" /><Relationship Id="rId3" Type="http://schemas.openxmlformats.org/officeDocument/2006/relationships/image" Target="../media/image40.emf" /><Relationship Id="rId4" Type="http://schemas.openxmlformats.org/officeDocument/2006/relationships/image" Target="../media/image5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3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22.emf" /><Relationship Id="rId3" Type="http://schemas.openxmlformats.org/officeDocument/2006/relationships/image" Target="../media/image46.emf" /><Relationship Id="rId4" Type="http://schemas.openxmlformats.org/officeDocument/2006/relationships/image" Target="../media/image3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28.emf" /><Relationship Id="rId3" Type="http://schemas.openxmlformats.org/officeDocument/2006/relationships/image" Target="../media/image47.emf" /><Relationship Id="rId4" Type="http://schemas.openxmlformats.org/officeDocument/2006/relationships/image" Target="../media/image5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20.emf" /><Relationship Id="rId3" Type="http://schemas.openxmlformats.org/officeDocument/2006/relationships/image" Target="../media/image58.emf" /><Relationship Id="rId4" Type="http://schemas.openxmlformats.org/officeDocument/2006/relationships/image" Target="../media/image7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29.emf" /><Relationship Id="rId3" Type="http://schemas.openxmlformats.org/officeDocument/2006/relationships/image" Target="../media/image60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447675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464820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447675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4886325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447675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67675" y="51244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161925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62975" y="464820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142875</xdr:colOff>
      <xdr:row>31</xdr:row>
      <xdr:rowOff>57150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562975" y="4886325"/>
          <a:ext cx="4000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161925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62975" y="51244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695325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96375" y="464820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695325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96375" y="4886325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695325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096375" y="51244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66675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82150" y="464820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66675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82150" y="4886325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66675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82150" y="51244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457200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285750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6752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409575</xdr:colOff>
      <xdr:row>30</xdr:row>
      <xdr:rowOff>152400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829175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447675</xdr:colOff>
      <xdr:row>40</xdr:row>
      <xdr:rowOff>28575</xdr:rowOff>
    </xdr:to>
    <xdr:sp macro="[0]!Info.hinweis">
      <xdr:nvSpPr>
        <xdr:cNvPr id="2" name="Rectangle 9"/>
        <xdr:cNvSpPr>
          <a:spLocks/>
        </xdr:cNvSpPr>
      </xdr:nvSpPr>
      <xdr:spPr>
        <a:xfrm>
          <a:off x="3048000" y="1066800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44</xdr:row>
      <xdr:rowOff>114300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10</xdr:col>
      <xdr:colOff>19050</xdr:colOff>
      <xdr:row>44</xdr:row>
      <xdr:rowOff>38100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81977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50</xdr:row>
      <xdr:rowOff>57150</xdr:rowOff>
    </xdr:from>
    <xdr:to>
      <xdr:col>3</xdr:col>
      <xdr:colOff>257175</xdr:colOff>
      <xdr:row>51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34377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50</xdr:row>
      <xdr:rowOff>57150</xdr:rowOff>
    </xdr:from>
    <xdr:to>
      <xdr:col>4</xdr:col>
      <xdr:colOff>285750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34377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50</xdr:row>
      <xdr:rowOff>66675</xdr:rowOff>
    </xdr:from>
    <xdr:to>
      <xdr:col>7</xdr:col>
      <xdr:colOff>47625</xdr:colOff>
      <xdr:row>52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50</xdr:row>
      <xdr:rowOff>66675</xdr:rowOff>
    </xdr:from>
    <xdr:to>
      <xdr:col>9</xdr:col>
      <xdr:colOff>257175</xdr:colOff>
      <xdr:row>52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3533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9550" y="5648325"/>
          <a:ext cx="31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44</xdr:row>
      <xdr:rowOff>104775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19050</xdr:rowOff>
    </xdr:from>
    <xdr:to>
      <xdr:col>10</xdr:col>
      <xdr:colOff>19050</xdr:colOff>
      <xdr:row>44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607695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314325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952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50</xdr:row>
      <xdr:rowOff>47625</xdr:rowOff>
    </xdr:from>
    <xdr:to>
      <xdr:col>4</xdr:col>
      <xdr:colOff>371475</xdr:colOff>
      <xdr:row>51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6390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50</xdr:row>
      <xdr:rowOff>47625</xdr:rowOff>
    </xdr:from>
    <xdr:to>
      <xdr:col>7</xdr:col>
      <xdr:colOff>123825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6390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57150</xdr:rowOff>
    </xdr:from>
    <xdr:to>
      <xdr:col>10</xdr:col>
      <xdr:colOff>66675</xdr:colOff>
      <xdr:row>52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6485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90975" y="5915025"/>
          <a:ext cx="3143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114300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75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28575</xdr:rowOff>
    </xdr:from>
    <xdr:to>
      <xdr:col>10</xdr:col>
      <xdr:colOff>19050</xdr:colOff>
      <xdr:row>44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6076950"/>
          <a:ext cx="333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314325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0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50</xdr:row>
      <xdr:rowOff>38100</xdr:rowOff>
    </xdr:from>
    <xdr:to>
      <xdr:col>4</xdr:col>
      <xdr:colOff>342900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6200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50</xdr:row>
      <xdr:rowOff>47625</xdr:rowOff>
    </xdr:from>
    <xdr:to>
      <xdr:col>7</xdr:col>
      <xdr:colOff>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6295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50</xdr:row>
      <xdr:rowOff>38100</xdr:rowOff>
    </xdr:from>
    <xdr:to>
      <xdr:col>9</xdr:col>
      <xdr:colOff>295275</xdr:colOff>
      <xdr:row>51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6200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0025" y="5905500"/>
          <a:ext cx="3333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314700" y="1000125"/>
          <a:ext cx="914400" cy="403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45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19050</xdr:colOff>
      <xdr:row>45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276725" y="5324475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295275</xdr:colOff>
      <xdr:row>51</xdr:row>
      <xdr:rowOff>123825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8655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50</xdr:row>
      <xdr:rowOff>38100</xdr:rowOff>
    </xdr:from>
    <xdr:to>
      <xdr:col>4</xdr:col>
      <xdr:colOff>342900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66865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50</xdr:row>
      <xdr:rowOff>57150</xdr:rowOff>
    </xdr:from>
    <xdr:to>
      <xdr:col>6</xdr:col>
      <xdr:colOff>419100</xdr:colOff>
      <xdr:row>52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67056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57150</xdr:rowOff>
    </xdr:from>
    <xdr:to>
      <xdr:col>10</xdr:col>
      <xdr:colOff>76200</xdr:colOff>
      <xdr:row>52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6705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276725" y="5057775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40</xdr:row>
      <xdr:rowOff>19050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45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238750"/>
          <a:ext cx="323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333375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2465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50</xdr:row>
      <xdr:rowOff>38100</xdr:rowOff>
    </xdr:from>
    <xdr:to>
      <xdr:col>4</xdr:col>
      <xdr:colOff>381000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67246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50</xdr:row>
      <xdr:rowOff>47625</xdr:rowOff>
    </xdr:from>
    <xdr:to>
      <xdr:col>7</xdr:col>
      <xdr:colOff>133350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6734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57150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67341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71925" y="5105400"/>
          <a:ext cx="3238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114300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45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248275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314325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3417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50</xdr:row>
      <xdr:rowOff>38100</xdr:rowOff>
    </xdr:from>
    <xdr:to>
      <xdr:col>4</xdr:col>
      <xdr:colOff>361950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673417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50</xdr:row>
      <xdr:rowOff>47625</xdr:rowOff>
    </xdr:from>
    <xdr:to>
      <xdr:col>7</xdr:col>
      <xdr:colOff>142875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67437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76200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67437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105400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45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10</xdr:col>
      <xdr:colOff>9525</xdr:colOff>
      <xdr:row>43</xdr:row>
      <xdr:rowOff>123825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23875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314325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2465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50</xdr:row>
      <xdr:rowOff>38100</xdr:rowOff>
    </xdr:from>
    <xdr:to>
      <xdr:col>4</xdr:col>
      <xdr:colOff>352425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67246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50</xdr:row>
      <xdr:rowOff>47625</xdr:rowOff>
    </xdr:from>
    <xdr:to>
      <xdr:col>7</xdr:col>
      <xdr:colOff>123825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6734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76200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67341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1054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45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43</xdr:row>
      <xdr:rowOff>123825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0958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333375</xdr:colOff>
      <xdr:row>51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6275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50</xdr:row>
      <xdr:rowOff>38100</xdr:rowOff>
    </xdr:from>
    <xdr:to>
      <xdr:col>4</xdr:col>
      <xdr:colOff>390525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67627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50</xdr:row>
      <xdr:rowOff>47625</xdr:rowOff>
    </xdr:from>
    <xdr:to>
      <xdr:col>7</xdr:col>
      <xdr:colOff>142875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67722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76200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6772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114925"/>
          <a:ext cx="304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17</xdr:row>
      <xdr:rowOff>9525</xdr:rowOff>
    </xdr:from>
    <xdr:to>
      <xdr:col>24</xdr:col>
      <xdr:colOff>0</xdr:colOff>
      <xdr:row>19</xdr:row>
      <xdr:rowOff>0</xdr:rowOff>
    </xdr:to>
    <xdr:sp>
      <xdr:nvSpPr>
        <xdr:cNvPr id="1" name="KWSchema2"/>
        <xdr:cNvSpPr>
          <a:spLocks/>
        </xdr:cNvSpPr>
      </xdr:nvSpPr>
      <xdr:spPr>
        <a:xfrm>
          <a:off x="17021175" y="2781300"/>
          <a:ext cx="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51</a:t>
          </a:r>
        </a:p>
      </xdr:txBody>
    </xdr:sp>
    <xdr:clientData/>
  </xdr:twoCellAnchor>
  <xdr:twoCellAnchor>
    <xdr:from>
      <xdr:col>24</xdr:col>
      <xdr:colOff>0</xdr:colOff>
      <xdr:row>31</xdr:row>
      <xdr:rowOff>133350</xdr:rowOff>
    </xdr:from>
    <xdr:to>
      <xdr:col>24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05425"/>
          <a:ext cx="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53</a:t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04825"/>
          <a:ext cx="6067425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371975"/>
          <a:ext cx="581025" cy="1552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47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69818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104775</xdr:rowOff>
    </xdr:from>
    <xdr:to>
      <xdr:col>6</xdr:col>
      <xdr:colOff>990600</xdr:colOff>
      <xdr:row>3</xdr:row>
      <xdr:rowOff>142875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04775"/>
          <a:ext cx="21336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19325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00550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055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00375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1912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077200"/>
          <a:ext cx="10477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38575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14825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97255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66675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9820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314325</xdr:rowOff>
    </xdr:from>
    <xdr:to>
      <xdr:col>3</xdr:col>
      <xdr:colOff>0</xdr:colOff>
      <xdr:row>37</xdr:row>
      <xdr:rowOff>104775</xdr:rowOff>
    </xdr:to>
    <xdr:sp macro="[0]!Info.hinweis">
      <xdr:nvSpPr>
        <xdr:cNvPr id="1" name="Rectangle 37"/>
        <xdr:cNvSpPr>
          <a:spLocks/>
        </xdr:cNvSpPr>
      </xdr:nvSpPr>
      <xdr:spPr>
        <a:xfrm>
          <a:off x="228600" y="1057275"/>
          <a:ext cx="7239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9525</xdr:rowOff>
    </xdr:from>
    <xdr:to>
      <xdr:col>2</xdr:col>
      <xdr:colOff>9525</xdr:colOff>
      <xdr:row>47</xdr:row>
      <xdr:rowOff>19050</xdr:rowOff>
    </xdr:to>
    <xdr:sp macro="[0]!Info.hinweis">
      <xdr:nvSpPr>
        <xdr:cNvPr id="2" name="Rectangle 38"/>
        <xdr:cNvSpPr>
          <a:spLocks/>
        </xdr:cNvSpPr>
      </xdr:nvSpPr>
      <xdr:spPr>
        <a:xfrm>
          <a:off x="190500" y="1076325"/>
          <a:ext cx="514350" cy="531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314325</xdr:rowOff>
    </xdr:from>
    <xdr:to>
      <xdr:col>8</xdr:col>
      <xdr:colOff>457200</xdr:colOff>
      <xdr:row>39</xdr:row>
      <xdr:rowOff>114300</xdr:rowOff>
    </xdr:to>
    <xdr:sp macro="[0]!Info.hinweis">
      <xdr:nvSpPr>
        <xdr:cNvPr id="3" name="Rectangle 39"/>
        <xdr:cNvSpPr>
          <a:spLocks/>
        </xdr:cNvSpPr>
      </xdr:nvSpPr>
      <xdr:spPr>
        <a:xfrm>
          <a:off x="3028950" y="1057275"/>
          <a:ext cx="9144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114925"/>
          <a:ext cx="304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50</xdr:row>
      <xdr:rowOff>57150</xdr:rowOff>
    </xdr:from>
    <xdr:to>
      <xdr:col>3</xdr:col>
      <xdr:colOff>200025</xdr:colOff>
      <xdr:row>51</xdr:row>
      <xdr:rowOff>114300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915150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57150</xdr:rowOff>
    </xdr:from>
    <xdr:to>
      <xdr:col>4</xdr:col>
      <xdr:colOff>314325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9151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50</xdr:row>
      <xdr:rowOff>76200</xdr:rowOff>
    </xdr:from>
    <xdr:to>
      <xdr:col>6</xdr:col>
      <xdr:colOff>485775</xdr:colOff>
      <xdr:row>52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6934200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50</xdr:row>
      <xdr:rowOff>66675</xdr:rowOff>
    </xdr:from>
    <xdr:to>
      <xdr:col>9</xdr:col>
      <xdr:colOff>266700</xdr:colOff>
      <xdr:row>51</xdr:row>
      <xdr:rowOff>152400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692467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05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19050</xdr:rowOff>
    </xdr:from>
    <xdr:to>
      <xdr:col>5</xdr:col>
      <xdr:colOff>476250</xdr:colOff>
      <xdr:row>45</xdr:row>
      <xdr:rowOff>19050</xdr:rowOff>
    </xdr:to>
    <xdr:sp macro="[0]!Info.hinweis">
      <xdr:nvSpPr>
        <xdr:cNvPr id="3" name="Rectangle 10"/>
        <xdr:cNvSpPr>
          <a:spLocks/>
        </xdr:cNvSpPr>
      </xdr:nvSpPr>
      <xdr:spPr>
        <a:xfrm>
          <a:off x="1952625" y="1104900"/>
          <a:ext cx="504825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162550"/>
          <a:ext cx="3333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57150</xdr:rowOff>
    </xdr:from>
    <xdr:to>
      <xdr:col>3</xdr:col>
      <xdr:colOff>285750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8294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57150</xdr:rowOff>
    </xdr:from>
    <xdr:to>
      <xdr:col>4</xdr:col>
      <xdr:colOff>323850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68294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50</xdr:row>
      <xdr:rowOff>66675</xdr:rowOff>
    </xdr:from>
    <xdr:to>
      <xdr:col>6</xdr:col>
      <xdr:colOff>523875</xdr:colOff>
      <xdr:row>52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683895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50</xdr:row>
      <xdr:rowOff>57150</xdr:rowOff>
    </xdr:from>
    <xdr:to>
      <xdr:col>10</xdr:col>
      <xdr:colOff>38100</xdr:colOff>
      <xdr:row>52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682942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00500" y="5172075"/>
          <a:ext cx="333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10" name="Rectangle 40"/>
        <xdr:cNvSpPr>
          <a:spLocks/>
        </xdr:cNvSpPr>
      </xdr:nvSpPr>
      <xdr:spPr>
        <a:xfrm>
          <a:off x="4000500" y="5172075"/>
          <a:ext cx="333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114300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247650</xdr:rowOff>
    </xdr:from>
    <xdr:to>
      <xdr:col>8</xdr:col>
      <xdr:colOff>495300</xdr:colOff>
      <xdr:row>39</xdr:row>
      <xdr:rowOff>95250</xdr:rowOff>
    </xdr:to>
    <xdr:sp macro="[0]!Info.hinweis">
      <xdr:nvSpPr>
        <xdr:cNvPr id="2" name="Rectangle 10"/>
        <xdr:cNvSpPr>
          <a:spLocks/>
        </xdr:cNvSpPr>
      </xdr:nvSpPr>
      <xdr:spPr>
        <a:xfrm>
          <a:off x="3076575" y="990600"/>
          <a:ext cx="9144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19050</xdr:rowOff>
    </xdr:from>
    <xdr:to>
      <xdr:col>1</xdr:col>
      <xdr:colOff>476250</xdr:colOff>
      <xdr:row>45</xdr:row>
      <xdr:rowOff>28575</xdr:rowOff>
    </xdr:to>
    <xdr:sp macro="[0]!Info.hinweis">
      <xdr:nvSpPr>
        <xdr:cNvPr id="3" name="Rectangle 11"/>
        <xdr:cNvSpPr>
          <a:spLocks/>
        </xdr:cNvSpPr>
      </xdr:nvSpPr>
      <xdr:spPr>
        <a:xfrm>
          <a:off x="200025" y="1076325"/>
          <a:ext cx="51435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095875"/>
          <a:ext cx="333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285750</xdr:colOff>
      <xdr:row>51</xdr:row>
      <xdr:rowOff>123825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246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50</xdr:row>
      <xdr:rowOff>38100</xdr:rowOff>
    </xdr:from>
    <xdr:to>
      <xdr:col>4</xdr:col>
      <xdr:colOff>361950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7246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50</xdr:row>
      <xdr:rowOff>38100</xdr:rowOff>
    </xdr:from>
    <xdr:to>
      <xdr:col>7</xdr:col>
      <xdr:colOff>142875</xdr:colOff>
      <xdr:row>51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6724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28575</xdr:rowOff>
    </xdr:from>
    <xdr:to>
      <xdr:col>10</xdr:col>
      <xdr:colOff>123825</xdr:colOff>
      <xdr:row>51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6715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00500" y="5095875"/>
          <a:ext cx="3333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476250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86100" y="1019175"/>
          <a:ext cx="904875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304800</xdr:rowOff>
    </xdr:from>
    <xdr:to>
      <xdr:col>1</xdr:col>
      <xdr:colOff>447675</xdr:colOff>
      <xdr:row>46</xdr:row>
      <xdr:rowOff>38100</xdr:rowOff>
    </xdr:to>
    <xdr:sp macro="[0]!Info.hinweis">
      <xdr:nvSpPr>
        <xdr:cNvPr id="3" name="Rectangle 13"/>
        <xdr:cNvSpPr>
          <a:spLocks/>
        </xdr:cNvSpPr>
      </xdr:nvSpPr>
      <xdr:spPr>
        <a:xfrm>
          <a:off x="190500" y="990600"/>
          <a:ext cx="495300" cy="506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219700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50</xdr:row>
      <xdr:rowOff>38100</xdr:rowOff>
    </xdr:from>
    <xdr:to>
      <xdr:col>3</xdr:col>
      <xdr:colOff>209550</xdr:colOff>
      <xdr:row>51</xdr:row>
      <xdr:rowOff>95250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705600"/>
          <a:ext cx="9239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38100</xdr:rowOff>
    </xdr:from>
    <xdr:to>
      <xdr:col>4</xdr:col>
      <xdr:colOff>314325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7056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50</xdr:row>
      <xdr:rowOff>47625</xdr:rowOff>
    </xdr:from>
    <xdr:to>
      <xdr:col>7</xdr:col>
      <xdr:colOff>38100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6715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50</xdr:row>
      <xdr:rowOff>47625</xdr:rowOff>
    </xdr:from>
    <xdr:to>
      <xdr:col>10</xdr:col>
      <xdr:colOff>76200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7151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9550" y="5076825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tabSelected="1" zoomScale="95" zoomScaleNormal="95" zoomScalePageLayoutView="0" workbookViewId="0" topLeftCell="A1">
      <selection activeCell="C25" sqref="C25"/>
    </sheetView>
  </sheetViews>
  <sheetFormatPr defaultColWidth="0" defaultRowHeight="12.75" zeroHeight="1"/>
  <cols>
    <col min="1" max="1" width="7.8515625" style="105" customWidth="1"/>
    <col min="2" max="2" width="55.140625" style="1" customWidth="1"/>
    <col min="3" max="3" width="11.421875" style="1" customWidth="1"/>
    <col min="4" max="4" width="4.140625" style="1" customWidth="1"/>
    <col min="5" max="5" width="3.57421875" style="105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5" customWidth="1"/>
    <col min="10" max="10" width="11.7109375" style="105" customWidth="1"/>
    <col min="11" max="11" width="11.421875" style="105" customWidth="1"/>
    <col min="12" max="12" width="5.28125" style="105" customWidth="1"/>
    <col min="13" max="13" width="2.28125" style="1" customWidth="1"/>
    <col min="14" max="14" width="4.8515625" style="105" customWidth="1"/>
    <col min="15" max="15" width="17.28125" style="105" customWidth="1"/>
    <col min="16" max="16" width="12.28125" style="105" customWidth="1"/>
    <col min="17" max="17" width="11.421875" style="105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4"/>
      <c r="B1" s="105"/>
      <c r="C1" s="105"/>
      <c r="D1" s="105"/>
      <c r="F1" s="217" t="s">
        <v>153</v>
      </c>
      <c r="G1" s="218"/>
      <c r="H1" s="218"/>
      <c r="I1" s="106"/>
      <c r="J1" s="107"/>
      <c r="K1" s="603"/>
      <c r="L1" s="108"/>
      <c r="M1" s="105"/>
    </row>
    <row r="2" spans="1:13" ht="12.75" customHeight="1">
      <c r="A2" s="109"/>
      <c r="B2" s="110" t="s">
        <v>57</v>
      </c>
      <c r="C2" s="106"/>
      <c r="D2" s="106"/>
      <c r="E2" s="121"/>
      <c r="F2" s="107"/>
      <c r="G2" s="118"/>
      <c r="H2" s="118"/>
      <c r="I2" s="112"/>
      <c r="J2" s="107"/>
      <c r="K2" s="604"/>
      <c r="L2" s="113"/>
      <c r="M2" s="105"/>
    </row>
    <row r="3" spans="1:16" ht="12" customHeight="1">
      <c r="A3" s="114"/>
      <c r="B3" s="595">
        <v>2020</v>
      </c>
      <c r="C3" s="597" t="s">
        <v>148</v>
      </c>
      <c r="D3" s="106"/>
      <c r="F3" s="532" t="s">
        <v>159</v>
      </c>
      <c r="G3" s="533" t="s">
        <v>154</v>
      </c>
      <c r="H3" s="534">
        <v>8</v>
      </c>
      <c r="I3" s="112"/>
      <c r="J3" s="118"/>
      <c r="K3" s="119"/>
      <c r="L3" s="119"/>
      <c r="M3" s="120"/>
      <c r="O3" s="121"/>
      <c r="P3" s="121"/>
    </row>
    <row r="4" spans="1:16" ht="12.75">
      <c r="A4" s="114"/>
      <c r="B4" s="596"/>
      <c r="C4" s="598"/>
      <c r="D4" s="105"/>
      <c r="F4" s="535" t="s">
        <v>160</v>
      </c>
      <c r="G4" s="229" t="s">
        <v>155</v>
      </c>
      <c r="H4" s="175">
        <v>8</v>
      </c>
      <c r="I4" s="107"/>
      <c r="J4" s="118"/>
      <c r="K4" s="119"/>
      <c r="L4" s="119"/>
      <c r="M4" s="120"/>
      <c r="O4" s="121"/>
      <c r="P4" s="121"/>
    </row>
    <row r="5" spans="1:16" ht="12.75">
      <c r="A5" s="114"/>
      <c r="B5" s="186" t="s">
        <v>162</v>
      </c>
      <c r="C5" s="121"/>
      <c r="D5" s="121"/>
      <c r="F5" s="536"/>
      <c r="G5" s="229" t="s">
        <v>156</v>
      </c>
      <c r="H5" s="175">
        <v>8</v>
      </c>
      <c r="I5" s="118"/>
      <c r="J5" s="122" t="s">
        <v>180</v>
      </c>
      <c r="K5" s="123"/>
      <c r="L5" s="123"/>
      <c r="M5" s="120"/>
      <c r="O5" s="121"/>
      <c r="P5" s="124"/>
    </row>
    <row r="6" spans="1:16" ht="13.5">
      <c r="A6" s="187" t="s">
        <v>140</v>
      </c>
      <c r="B6" s="348" t="s">
        <v>37</v>
      </c>
      <c r="C6" s="121"/>
      <c r="D6" s="121"/>
      <c r="F6" s="536"/>
      <c r="G6" s="229" t="s">
        <v>157</v>
      </c>
      <c r="H6" s="175">
        <v>8</v>
      </c>
      <c r="I6" s="118"/>
      <c r="J6" s="118"/>
      <c r="K6" s="119"/>
      <c r="L6" s="119"/>
      <c r="M6" s="125"/>
      <c r="O6" s="126"/>
      <c r="P6" s="127"/>
    </row>
    <row r="7" spans="1:16" ht="13.5">
      <c r="A7" s="184" t="s">
        <v>137</v>
      </c>
      <c r="B7" s="348" t="s">
        <v>135</v>
      </c>
      <c r="C7" s="128"/>
      <c r="D7" s="128"/>
      <c r="E7" s="115"/>
      <c r="F7" s="536"/>
      <c r="G7" s="228" t="s">
        <v>158</v>
      </c>
      <c r="H7" s="175">
        <v>5.5</v>
      </c>
      <c r="I7" s="116"/>
      <c r="J7" s="543" t="str">
        <f>"Feiertage "&amp;gewJahr</f>
        <v>Feiertage 2020</v>
      </c>
      <c r="K7" s="544"/>
      <c r="L7" s="544"/>
      <c r="M7" s="545"/>
      <c r="O7" s="504" t="s">
        <v>259</v>
      </c>
      <c r="P7" s="505"/>
    </row>
    <row r="8" spans="1:16" ht="13.5">
      <c r="A8" s="185" t="s">
        <v>136</v>
      </c>
      <c r="B8" s="348" t="s">
        <v>179</v>
      </c>
      <c r="C8" s="353"/>
      <c r="D8" s="121"/>
      <c r="E8" s="135"/>
      <c r="F8" s="537"/>
      <c r="G8" s="118" t="s">
        <v>96</v>
      </c>
      <c r="H8" s="175">
        <f>SUM(H2:H7)</f>
        <v>37.5</v>
      </c>
      <c r="I8" s="120"/>
      <c r="J8" s="507"/>
      <c r="K8" s="145"/>
      <c r="L8" s="121"/>
      <c r="M8" s="508"/>
      <c r="O8" s="504" t="s">
        <v>260</v>
      </c>
      <c r="P8" s="505"/>
    </row>
    <row r="9" spans="1:16" ht="12.75">
      <c r="A9" s="129"/>
      <c r="B9" s="130"/>
      <c r="C9" s="130"/>
      <c r="D9" s="130"/>
      <c r="F9" s="537"/>
      <c r="G9" s="118" t="s">
        <v>55</v>
      </c>
      <c r="H9" s="15">
        <v>0.8333333333333334</v>
      </c>
      <c r="I9" s="125"/>
      <c r="J9" s="509">
        <f>DATE(gewJahr,1,1)</f>
        <v>43831</v>
      </c>
      <c r="K9" s="132" t="s">
        <v>43</v>
      </c>
      <c r="L9" s="120"/>
      <c r="M9" s="510"/>
      <c r="O9" s="504" t="s">
        <v>261</v>
      </c>
      <c r="P9" s="505"/>
    </row>
    <row r="10" spans="1:16" ht="12.75">
      <c r="A10" s="129"/>
      <c r="B10" s="147"/>
      <c r="C10" s="105"/>
      <c r="D10" s="133"/>
      <c r="E10" s="121"/>
      <c r="F10" s="537"/>
      <c r="G10" s="107" t="s">
        <v>56</v>
      </c>
      <c r="H10" s="15">
        <v>0.25</v>
      </c>
      <c r="I10" s="134"/>
      <c r="J10" s="509">
        <f>DATE(gewJahr,1,6)</f>
        <v>43836</v>
      </c>
      <c r="K10" s="132" t="s">
        <v>44</v>
      </c>
      <c r="L10" s="120"/>
      <c r="M10" s="590" t="s">
        <v>64</v>
      </c>
      <c r="O10" s="504" t="s">
        <v>262</v>
      </c>
      <c r="P10" s="505"/>
    </row>
    <row r="11" spans="1:16" ht="12.75">
      <c r="A11" s="129"/>
      <c r="B11" s="546" t="s">
        <v>152</v>
      </c>
      <c r="C11" s="547"/>
      <c r="D11" s="548"/>
      <c r="E11" s="121"/>
      <c r="F11" s="538"/>
      <c r="G11" s="487" t="str">
        <f>F23&amp;" von:"</f>
        <v>Sonderschicht I von:</v>
      </c>
      <c r="H11" s="15">
        <v>0</v>
      </c>
      <c r="I11" s="120"/>
      <c r="J11" s="509">
        <f>J12-2</f>
        <v>43931</v>
      </c>
      <c r="K11" s="136" t="s">
        <v>29</v>
      </c>
      <c r="L11" s="120"/>
      <c r="M11" s="511"/>
      <c r="O11" s="137"/>
      <c r="P11" s="138"/>
    </row>
    <row r="12" spans="1:16" ht="12.75">
      <c r="A12" s="129"/>
      <c r="B12" s="549" t="s">
        <v>23</v>
      </c>
      <c r="C12" s="231">
        <v>1</v>
      </c>
      <c r="D12" s="550"/>
      <c r="F12" s="537"/>
      <c r="G12" s="107" t="s">
        <v>56</v>
      </c>
      <c r="H12" s="15">
        <v>0</v>
      </c>
      <c r="I12" s="139"/>
      <c r="J12" s="509">
        <f>Ostern(gewJahr)</f>
        <v>43933</v>
      </c>
      <c r="K12" s="136" t="s">
        <v>45</v>
      </c>
      <c r="L12" s="120"/>
      <c r="M12" s="511"/>
      <c r="O12" s="140"/>
      <c r="P12" s="121"/>
    </row>
    <row r="13" spans="1:13" ht="12.75">
      <c r="A13" s="121"/>
      <c r="B13" s="551" t="s">
        <v>174</v>
      </c>
      <c r="C13" s="232">
        <v>1</v>
      </c>
      <c r="D13" s="552"/>
      <c r="E13" s="121"/>
      <c r="F13" s="609" t="str">
        <f>G24&amp;" von:"</f>
        <v>Sonderschicht II von:</v>
      </c>
      <c r="G13" s="610"/>
      <c r="H13" s="15">
        <v>0</v>
      </c>
      <c r="I13" s="242"/>
      <c r="J13" s="509">
        <f>J12+1</f>
        <v>43934</v>
      </c>
      <c r="K13" s="136" t="s">
        <v>30</v>
      </c>
      <c r="L13" s="120"/>
      <c r="M13" s="511"/>
    </row>
    <row r="14" spans="2:13" ht="12.75">
      <c r="B14" s="549" t="s">
        <v>24</v>
      </c>
      <c r="C14" s="231">
        <v>0</v>
      </c>
      <c r="D14" s="553"/>
      <c r="E14" s="121"/>
      <c r="F14" s="593" t="s">
        <v>56</v>
      </c>
      <c r="G14" s="594"/>
      <c r="H14" s="243">
        <v>0</v>
      </c>
      <c r="I14" s="120"/>
      <c r="J14" s="509">
        <f>DATE(gewJahr,5,1)</f>
        <v>43952</v>
      </c>
      <c r="K14" s="136" t="s">
        <v>46</v>
      </c>
      <c r="L14" s="145"/>
      <c r="M14" s="511"/>
    </row>
    <row r="15" spans="2:13" ht="12.75">
      <c r="B15" s="549" t="s">
        <v>163</v>
      </c>
      <c r="C15" s="231">
        <v>0</v>
      </c>
      <c r="D15" s="553"/>
      <c r="E15" s="121"/>
      <c r="F15" s="605"/>
      <c r="G15" s="606"/>
      <c r="H15" s="117"/>
      <c r="I15" s="120"/>
      <c r="J15" s="509">
        <f>J12+39</f>
        <v>43972</v>
      </c>
      <c r="K15" s="136" t="s">
        <v>95</v>
      </c>
      <c r="L15" s="145"/>
      <c r="M15" s="511"/>
    </row>
    <row r="16" spans="2:16" ht="12.75">
      <c r="B16" s="549" t="s">
        <v>164</v>
      </c>
      <c r="C16" s="231">
        <v>9</v>
      </c>
      <c r="D16" s="553" t="s">
        <v>26</v>
      </c>
      <c r="F16" s="607" t="s">
        <v>36</v>
      </c>
      <c r="G16" s="608"/>
      <c r="H16" s="12" t="s">
        <v>34</v>
      </c>
      <c r="I16" s="125"/>
      <c r="J16" s="512">
        <f>J12+49</f>
        <v>43982</v>
      </c>
      <c r="K16" s="136" t="s">
        <v>47</v>
      </c>
      <c r="L16" s="120"/>
      <c r="M16" s="511"/>
      <c r="N16" s="615"/>
      <c r="O16" s="616"/>
      <c r="P16" s="111"/>
    </row>
    <row r="17" spans="2:16" ht="12.75">
      <c r="B17" s="554" t="s">
        <v>165</v>
      </c>
      <c r="C17" s="233">
        <v>14.6</v>
      </c>
      <c r="D17" s="236" t="s">
        <v>166</v>
      </c>
      <c r="E17" s="115"/>
      <c r="F17" s="611" t="s">
        <v>35</v>
      </c>
      <c r="G17" s="612"/>
      <c r="H17" s="464">
        <v>20</v>
      </c>
      <c r="I17" s="134"/>
      <c r="J17" s="513">
        <f>J12+50</f>
        <v>43983</v>
      </c>
      <c r="K17" s="143" t="s">
        <v>31</v>
      </c>
      <c r="L17" s="120"/>
      <c r="M17" s="511"/>
      <c r="N17" s="131"/>
      <c r="O17" s="132"/>
      <c r="P17" s="108"/>
    </row>
    <row r="18" spans="2:16" ht="12.75">
      <c r="B18" s="555" t="s">
        <v>301</v>
      </c>
      <c r="C18" s="234">
        <v>1.1</v>
      </c>
      <c r="D18" s="236" t="s">
        <v>166</v>
      </c>
      <c r="E18" s="135"/>
      <c r="F18" s="613" t="s">
        <v>53</v>
      </c>
      <c r="G18" s="614"/>
      <c r="H18" s="12" t="s">
        <v>34</v>
      </c>
      <c r="I18" s="120"/>
      <c r="J18" s="512">
        <f>J12+60</f>
        <v>43993</v>
      </c>
      <c r="K18" s="136" t="s">
        <v>32</v>
      </c>
      <c r="L18" s="120"/>
      <c r="M18" s="514" t="s">
        <v>64</v>
      </c>
      <c r="N18" s="131"/>
      <c r="O18" s="132"/>
      <c r="P18" s="108"/>
    </row>
    <row r="19" spans="2:16" ht="12.75">
      <c r="B19" s="555" t="s">
        <v>167</v>
      </c>
      <c r="C19" s="235">
        <v>0</v>
      </c>
      <c r="D19" s="238"/>
      <c r="E19" s="135"/>
      <c r="F19" s="527"/>
      <c r="G19" s="135" t="s">
        <v>58</v>
      </c>
      <c r="H19" s="481">
        <v>28.5</v>
      </c>
      <c r="I19" s="120"/>
      <c r="J19" s="512">
        <f>DATE(gewJahr,8,15)</f>
        <v>44058</v>
      </c>
      <c r="K19" s="136" t="s">
        <v>48</v>
      </c>
      <c r="L19" s="120"/>
      <c r="M19" s="514" t="s">
        <v>162</v>
      </c>
      <c r="N19" s="131"/>
      <c r="O19" s="132"/>
      <c r="P19" s="108"/>
    </row>
    <row r="20" spans="2:16" ht="13.5" customHeight="1">
      <c r="B20" s="549" t="s">
        <v>168</v>
      </c>
      <c r="C20" s="231">
        <v>0</v>
      </c>
      <c r="D20" s="238"/>
      <c r="E20" s="135"/>
      <c r="F20" s="527"/>
      <c r="G20" s="135" t="s">
        <v>59</v>
      </c>
      <c r="H20" s="3">
        <v>0</v>
      </c>
      <c r="I20" s="120"/>
      <c r="J20" s="512">
        <f>DATE(gewJahr,10,3)</f>
        <v>44107</v>
      </c>
      <c r="K20" s="136" t="s">
        <v>49</v>
      </c>
      <c r="L20" s="120"/>
      <c r="M20" s="515"/>
      <c r="N20" s="131"/>
      <c r="O20" s="136"/>
      <c r="P20" s="108"/>
    </row>
    <row r="21" spans="2:16" ht="12.75">
      <c r="B21" s="549" t="s">
        <v>169</v>
      </c>
      <c r="C21" s="231">
        <v>0</v>
      </c>
      <c r="D21" s="238"/>
      <c r="E21" s="135"/>
      <c r="F21" s="528"/>
      <c r="G21" s="486" t="s">
        <v>116</v>
      </c>
      <c r="H21" s="3">
        <v>0</v>
      </c>
      <c r="I21" s="120"/>
      <c r="J21" s="512">
        <f>DATE(gewJahr,10,31)</f>
        <v>44135</v>
      </c>
      <c r="K21" s="136" t="s">
        <v>62</v>
      </c>
      <c r="L21" s="120"/>
      <c r="M21" s="514" t="s">
        <v>162</v>
      </c>
      <c r="N21" s="131"/>
      <c r="O21" s="136"/>
      <c r="P21" s="108"/>
    </row>
    <row r="22" spans="1:16" ht="12.75">
      <c r="A22" s="465"/>
      <c r="B22" s="549" t="s">
        <v>170</v>
      </c>
      <c r="C22" s="231">
        <v>0</v>
      </c>
      <c r="D22" s="238"/>
      <c r="E22" s="106"/>
      <c r="F22" s="529"/>
      <c r="G22" s="135" t="s">
        <v>60</v>
      </c>
      <c r="H22" s="3">
        <v>2.98</v>
      </c>
      <c r="I22" s="120"/>
      <c r="J22" s="512">
        <f>DATE(gewJahr,11,1)</f>
        <v>44136</v>
      </c>
      <c r="K22" s="136" t="s">
        <v>50</v>
      </c>
      <c r="L22" s="120"/>
      <c r="M22" s="514" t="s">
        <v>162</v>
      </c>
      <c r="N22" s="131"/>
      <c r="O22" s="136"/>
      <c r="P22" s="108"/>
    </row>
    <row r="23" spans="2:16" ht="12.75">
      <c r="B23" s="556" t="s">
        <v>250</v>
      </c>
      <c r="C23" s="301">
        <v>24939</v>
      </c>
      <c r="D23" s="238"/>
      <c r="E23" s="145"/>
      <c r="F23" s="624" t="s">
        <v>257</v>
      </c>
      <c r="G23" s="625"/>
      <c r="H23" s="480">
        <v>0</v>
      </c>
      <c r="I23" s="125"/>
      <c r="J23" s="509">
        <f>DATE(gewJahr,11,22-INT(MOD(gewJahr-1+gewJahr/4,7)))</f>
        <v>44153</v>
      </c>
      <c r="K23" s="136" t="s">
        <v>63</v>
      </c>
      <c r="L23" s="120"/>
      <c r="M23" s="514" t="s">
        <v>162</v>
      </c>
      <c r="N23" s="131"/>
      <c r="O23" s="136"/>
      <c r="P23" s="106"/>
    </row>
    <row r="24" spans="2:16" ht="13.5" customHeight="1">
      <c r="B24" s="557" t="s">
        <v>311</v>
      </c>
      <c r="C24" s="491">
        <v>0</v>
      </c>
      <c r="D24" s="238"/>
      <c r="E24" s="145"/>
      <c r="F24" s="530"/>
      <c r="G24" s="531" t="s">
        <v>258</v>
      </c>
      <c r="H24" s="482">
        <v>0</v>
      </c>
      <c r="I24" s="134"/>
      <c r="J24" s="509">
        <f>DATE(gewJahr,12,25)</f>
        <v>44190</v>
      </c>
      <c r="K24" s="136" t="s">
        <v>51</v>
      </c>
      <c r="L24" s="120"/>
      <c r="M24" s="515"/>
      <c r="N24" s="131"/>
      <c r="O24" s="136"/>
      <c r="P24" s="106"/>
    </row>
    <row r="25" spans="2:16" ht="12.75">
      <c r="B25" s="558" t="s">
        <v>281</v>
      </c>
      <c r="C25" s="490">
        <v>0</v>
      </c>
      <c r="D25" s="238"/>
      <c r="E25" s="145"/>
      <c r="F25" s="144"/>
      <c r="G25" s="144"/>
      <c r="H25" s="106"/>
      <c r="J25" s="516">
        <f>DATE(gewJahr,12,26)</f>
        <v>44191</v>
      </c>
      <c r="K25" s="517" t="s">
        <v>52</v>
      </c>
      <c r="L25" s="518"/>
      <c r="M25" s="519"/>
      <c r="N25" s="141"/>
      <c r="O25" s="136"/>
      <c r="P25" s="108"/>
    </row>
    <row r="26" spans="1:16" ht="12.75">
      <c r="A26" s="121"/>
      <c r="B26" s="559" t="s">
        <v>25</v>
      </c>
      <c r="C26" s="239">
        <v>0</v>
      </c>
      <c r="D26" s="238" t="s">
        <v>22</v>
      </c>
      <c r="E26" s="120"/>
      <c r="F26" s="144"/>
      <c r="G26" s="144"/>
      <c r="H26" s="145"/>
      <c r="I26" s="120"/>
      <c r="J26" s="131"/>
      <c r="K26" s="136"/>
      <c r="L26" s="108"/>
      <c r="M26" s="108"/>
      <c r="N26" s="142"/>
      <c r="O26" s="143"/>
      <c r="P26" s="108"/>
    </row>
    <row r="27" spans="1:16" ht="12.75">
      <c r="A27" s="121"/>
      <c r="B27" s="560" t="s">
        <v>42</v>
      </c>
      <c r="C27" s="561">
        <v>0</v>
      </c>
      <c r="D27" s="562" t="s">
        <v>22</v>
      </c>
      <c r="E27" s="120"/>
      <c r="F27" s="541"/>
      <c r="G27" s="542" t="s">
        <v>61</v>
      </c>
      <c r="H27" s="573">
        <v>30</v>
      </c>
      <c r="I27" s="125"/>
      <c r="J27" s="131"/>
      <c r="K27" s="136"/>
      <c r="L27" s="108"/>
      <c r="M27" s="108"/>
      <c r="N27" s="141"/>
      <c r="O27" s="136"/>
      <c r="P27" s="108"/>
    </row>
    <row r="28" spans="1:16" ht="12.75">
      <c r="A28" s="121"/>
      <c r="B28" s="620"/>
      <c r="C28" s="620"/>
      <c r="D28" s="620"/>
      <c r="E28" s="120"/>
      <c r="F28" s="527"/>
      <c r="G28" s="575" t="s">
        <v>308</v>
      </c>
      <c r="H28" s="579">
        <v>0.3125</v>
      </c>
      <c r="I28" s="134"/>
      <c r="J28" s="520" t="s">
        <v>209</v>
      </c>
      <c r="K28" s="521"/>
      <c r="L28" s="522"/>
      <c r="M28" s="506"/>
      <c r="N28" s="141"/>
      <c r="O28" s="136"/>
      <c r="P28" s="108"/>
    </row>
    <row r="29" spans="1:16" ht="12.75">
      <c r="A29" s="121"/>
      <c r="B29" s="620"/>
      <c r="C29" s="620"/>
      <c r="D29" s="620"/>
      <c r="E29" s="120"/>
      <c r="F29" s="539"/>
      <c r="G29" s="540" t="s">
        <v>117</v>
      </c>
      <c r="H29" s="574" t="s">
        <v>118</v>
      </c>
      <c r="I29" s="108"/>
      <c r="J29" s="523"/>
      <c r="K29" s="121"/>
      <c r="L29" s="121"/>
      <c r="M29" s="524"/>
      <c r="N29" s="141"/>
      <c r="O29" s="136"/>
      <c r="P29" s="108"/>
    </row>
    <row r="30" spans="1:16" ht="12.75">
      <c r="A30" s="121"/>
      <c r="B30" s="622" t="s">
        <v>212</v>
      </c>
      <c r="C30" s="623"/>
      <c r="D30" s="623"/>
      <c r="E30" s="621"/>
      <c r="F30" s="604"/>
      <c r="G30" s="604"/>
      <c r="H30" s="105"/>
      <c r="J30" s="523"/>
      <c r="K30" s="121"/>
      <c r="L30" s="121"/>
      <c r="M30" s="524"/>
      <c r="N30" s="131"/>
      <c r="O30" s="136"/>
      <c r="P30" s="108"/>
    </row>
    <row r="31" spans="2:16" ht="12.75">
      <c r="B31" s="323" t="s">
        <v>240</v>
      </c>
      <c r="C31" s="321">
        <v>3.3</v>
      </c>
      <c r="D31" s="237" t="s">
        <v>26</v>
      </c>
      <c r="E31" s="230"/>
      <c r="F31" s="106"/>
      <c r="G31" s="106"/>
      <c r="H31" s="147"/>
      <c r="J31" s="523"/>
      <c r="K31" s="121"/>
      <c r="L31" s="121"/>
      <c r="M31" s="524"/>
      <c r="N31" s="131"/>
      <c r="O31" s="136"/>
      <c r="P31" s="106"/>
    </row>
    <row r="32" spans="2:13" ht="12.75">
      <c r="B32" s="323" t="s">
        <v>213</v>
      </c>
      <c r="C32" s="64">
        <v>0.33</v>
      </c>
      <c r="D32" s="237" t="s">
        <v>26</v>
      </c>
      <c r="E32" s="618"/>
      <c r="F32" s="619"/>
      <c r="G32" s="619"/>
      <c r="H32" s="619"/>
      <c r="J32" s="523"/>
      <c r="K32" s="121"/>
      <c r="L32" s="121"/>
      <c r="M32" s="524"/>
    </row>
    <row r="33" spans="1:13" ht="12.75">
      <c r="A33" s="148"/>
      <c r="B33" s="323" t="s">
        <v>214</v>
      </c>
      <c r="C33" s="321">
        <v>0.63</v>
      </c>
      <c r="D33" s="237" t="s">
        <v>26</v>
      </c>
      <c r="E33" s="108"/>
      <c r="F33" s="599" t="s">
        <v>304</v>
      </c>
      <c r="G33" s="600"/>
      <c r="H33" s="601" t="s">
        <v>312</v>
      </c>
      <c r="I33" s="602"/>
      <c r="J33" s="525"/>
      <c r="K33" s="322"/>
      <c r="L33" s="322"/>
      <c r="M33" s="526"/>
    </row>
    <row r="34" spans="1:13" ht="12.75">
      <c r="A34" s="149"/>
      <c r="B34" s="230"/>
      <c r="C34" s="106"/>
      <c r="D34" s="106"/>
      <c r="E34" s="108"/>
      <c r="F34" s="108"/>
      <c r="G34" s="105"/>
      <c r="H34" s="105"/>
      <c r="M34" s="105"/>
    </row>
    <row r="35" spans="1:13" ht="12.75">
      <c r="A35" s="151"/>
      <c r="B35" s="621"/>
      <c r="C35" s="604"/>
      <c r="D35" s="604"/>
      <c r="E35" s="108"/>
      <c r="F35" s="352"/>
      <c r="G35" s="105"/>
      <c r="H35" s="353"/>
      <c r="M35" s="105"/>
    </row>
    <row r="36" spans="1:13" ht="12.75">
      <c r="A36" s="151"/>
      <c r="B36" s="129"/>
      <c r="C36" s="129"/>
      <c r="D36" s="105"/>
      <c r="E36" s="108"/>
      <c r="F36" s="108"/>
      <c r="G36" s="105"/>
      <c r="H36" s="105"/>
      <c r="M36" s="105"/>
    </row>
    <row r="37" spans="1:13" ht="12.75">
      <c r="A37" s="151"/>
      <c r="B37" s="150"/>
      <c r="C37" s="129"/>
      <c r="D37" s="105"/>
      <c r="E37" s="108"/>
      <c r="F37" s="108"/>
      <c r="G37" s="105"/>
      <c r="H37" s="105"/>
      <c r="M37" s="105"/>
    </row>
    <row r="38" spans="1:13" ht="12.75">
      <c r="A38" s="146"/>
      <c r="B38" s="152"/>
      <c r="C38" s="129"/>
      <c r="D38" s="105"/>
      <c r="E38" s="108"/>
      <c r="F38" s="108"/>
      <c r="G38" s="105"/>
      <c r="H38" s="105"/>
      <c r="M38" s="105"/>
    </row>
    <row r="39" spans="1:13" ht="12.75">
      <c r="A39" s="146"/>
      <c r="B39" s="129"/>
      <c r="C39" s="129"/>
      <c r="D39" s="105"/>
      <c r="E39" s="108"/>
      <c r="F39" s="108"/>
      <c r="G39" s="105"/>
      <c r="H39" s="105"/>
      <c r="M39" s="105"/>
    </row>
    <row r="40" spans="1:13" ht="12.75">
      <c r="A40" s="617"/>
      <c r="B40" s="617"/>
      <c r="C40" s="617"/>
      <c r="D40" s="617"/>
      <c r="E40" s="617"/>
      <c r="F40" s="617"/>
      <c r="G40" s="617"/>
      <c r="H40" s="617"/>
      <c r="I40" s="617"/>
      <c r="M40" s="105"/>
    </row>
    <row r="41" ht="12.75" hidden="1"/>
    <row r="42" ht="12.75" hidden="1"/>
    <row r="43" ht="12.75" hidden="1"/>
    <row r="44" spans="2:6" ht="12.75" hidden="1">
      <c r="B44" s="9"/>
      <c r="C44" s="7"/>
      <c r="E44" s="108"/>
      <c r="F44" s="8"/>
    </row>
    <row r="45" spans="2:6" ht="12.75" hidden="1">
      <c r="B45" s="10"/>
      <c r="C45" s="7"/>
      <c r="E45" s="108"/>
      <c r="F45" s="8"/>
    </row>
    <row r="46" spans="2:6" ht="12.75" hidden="1">
      <c r="B46" s="7"/>
      <c r="C46" s="7"/>
      <c r="E46" s="108"/>
      <c r="F46" s="8"/>
    </row>
    <row r="47" spans="2:6" ht="12.75" hidden="1">
      <c r="B47" s="7"/>
      <c r="C47" s="7"/>
      <c r="E47" s="108"/>
      <c r="F47" s="8"/>
    </row>
    <row r="48" spans="2:6" ht="12.75" hidden="1">
      <c r="B48" s="7"/>
      <c r="C48" s="7"/>
      <c r="E48" s="108"/>
      <c r="F48" s="8"/>
    </row>
  </sheetData>
  <sheetProtection/>
  <mergeCells count="20"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</mergeCells>
  <conditionalFormatting sqref="C20">
    <cfRule type="cellIs" priority="1" dxfId="249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60"/>
  <sheetViews>
    <sheetView defaultGridColor="0" zoomScalePageLayoutView="0" colorId="22" workbookViewId="0" topLeftCell="A1">
      <selection activeCell="F36" sqref="F36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Mai "&amp;gewJahr</f>
        <v>Arbeitszeitachweis Mai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6.5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6.2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 customHeight="1">
      <c r="A8" s="207"/>
      <c r="B8" s="219">
        <f>DATE(gewJahr,5,1)</f>
        <v>43952</v>
      </c>
      <c r="C8" s="220">
        <f aca="true" t="shared" si="0" ref="C8:C38">WEEKDAY(B8)</f>
        <v>6</v>
      </c>
      <c r="D8" s="221">
        <v>0</v>
      </c>
      <c r="E8" s="221">
        <v>0</v>
      </c>
      <c r="F8" s="267">
        <f>MAX(IF(D8&lt;=E8,E8-D8,"24:00"-D8+E8)-G8,0)</f>
        <v>0</v>
      </c>
      <c r="G8" s="221"/>
      <c r="H8" s="273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 customHeight="1">
      <c r="A9" s="207"/>
      <c r="B9" s="198">
        <f aca="true" t="shared" si="1" ref="B9:B38">B8+1</f>
        <v>43953</v>
      </c>
      <c r="C9" s="199">
        <f t="shared" si="0"/>
        <v>7</v>
      </c>
      <c r="D9" s="200">
        <v>0</v>
      </c>
      <c r="E9" s="200">
        <v>0</v>
      </c>
      <c r="F9" s="268">
        <f aca="true" t="shared" si="2" ref="F9:F38">MAX(IF(D9&lt;=E9,E9-D9,"24:00"-D9+E9)-G9,0)</f>
        <v>0</v>
      </c>
      <c r="G9" s="200"/>
      <c r="H9" s="269">
        <f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 customHeight="1">
      <c r="A10" s="207"/>
      <c r="B10" s="198">
        <f t="shared" si="1"/>
        <v>43954</v>
      </c>
      <c r="C10" s="199">
        <f t="shared" si="0"/>
        <v>1</v>
      </c>
      <c r="D10" s="200">
        <v>0</v>
      </c>
      <c r="E10" s="200">
        <v>0</v>
      </c>
      <c r="F10" s="268">
        <f t="shared" si="2"/>
        <v>0</v>
      </c>
      <c r="G10" s="200"/>
      <c r="H10" s="269">
        <f aca="true" t="shared" si="3" ref="H10:H38">IF(F10-I10&gt;0,F10-I10,0)</f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 customHeight="1">
      <c r="A11" s="207"/>
      <c r="B11" s="198">
        <f t="shared" si="1"/>
        <v>43955</v>
      </c>
      <c r="C11" s="199">
        <f t="shared" si="0"/>
        <v>2</v>
      </c>
      <c r="D11" s="200">
        <v>0</v>
      </c>
      <c r="E11" s="200">
        <v>0</v>
      </c>
      <c r="F11" s="268">
        <f t="shared" si="2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 customHeight="1">
      <c r="A12" s="207"/>
      <c r="B12" s="198">
        <f t="shared" si="1"/>
        <v>43956</v>
      </c>
      <c r="C12" s="199">
        <f t="shared" si="0"/>
        <v>3</v>
      </c>
      <c r="D12" s="200">
        <v>0</v>
      </c>
      <c r="E12" s="200">
        <v>0</v>
      </c>
      <c r="F12" s="268">
        <f t="shared" si="2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 customHeight="1">
      <c r="A13" s="207"/>
      <c r="B13" s="198">
        <f t="shared" si="1"/>
        <v>43957</v>
      </c>
      <c r="C13" s="199">
        <f t="shared" si="0"/>
        <v>4</v>
      </c>
      <c r="D13" s="200">
        <v>0</v>
      </c>
      <c r="E13" s="200">
        <v>0</v>
      </c>
      <c r="F13" s="268">
        <f t="shared" si="2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 customHeight="1">
      <c r="A14" s="207"/>
      <c r="B14" s="198">
        <f t="shared" si="1"/>
        <v>43958</v>
      </c>
      <c r="C14" s="199">
        <f t="shared" si="0"/>
        <v>5</v>
      </c>
      <c r="D14" s="200">
        <v>0</v>
      </c>
      <c r="E14" s="200">
        <v>0</v>
      </c>
      <c r="F14" s="268">
        <f t="shared" si="2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 customHeight="1">
      <c r="A15" s="207"/>
      <c r="B15" s="198">
        <f t="shared" si="1"/>
        <v>43959</v>
      </c>
      <c r="C15" s="199">
        <f t="shared" si="0"/>
        <v>6</v>
      </c>
      <c r="D15" s="200">
        <v>0</v>
      </c>
      <c r="E15" s="200">
        <v>0</v>
      </c>
      <c r="F15" s="268">
        <f t="shared" si="2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 customHeight="1">
      <c r="A16" s="207"/>
      <c r="B16" s="198">
        <f t="shared" si="1"/>
        <v>43960</v>
      </c>
      <c r="C16" s="199">
        <f t="shared" si="0"/>
        <v>7</v>
      </c>
      <c r="D16" s="200">
        <v>0</v>
      </c>
      <c r="E16" s="200">
        <v>0</v>
      </c>
      <c r="F16" s="268">
        <f t="shared" si="2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 customHeight="1">
      <c r="A17" s="207"/>
      <c r="B17" s="585">
        <f t="shared" si="1"/>
        <v>43961</v>
      </c>
      <c r="C17" s="586">
        <f t="shared" si="0"/>
        <v>1</v>
      </c>
      <c r="D17" s="587">
        <v>0</v>
      </c>
      <c r="E17" s="587">
        <v>0</v>
      </c>
      <c r="F17" s="588">
        <f t="shared" si="2"/>
        <v>0</v>
      </c>
      <c r="G17" s="587"/>
      <c r="H17" s="58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 customHeight="1">
      <c r="A18" s="207"/>
      <c r="B18" s="198">
        <f t="shared" si="1"/>
        <v>43962</v>
      </c>
      <c r="C18" s="199">
        <f t="shared" si="0"/>
        <v>2</v>
      </c>
      <c r="D18" s="200">
        <v>0</v>
      </c>
      <c r="E18" s="200">
        <v>0</v>
      </c>
      <c r="F18" s="268">
        <f t="shared" si="2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 customHeight="1">
      <c r="A19" s="207"/>
      <c r="B19" s="198">
        <f t="shared" si="1"/>
        <v>43963</v>
      </c>
      <c r="C19" s="199">
        <f t="shared" si="0"/>
        <v>3</v>
      </c>
      <c r="D19" s="200">
        <v>0</v>
      </c>
      <c r="E19" s="200">
        <v>0</v>
      </c>
      <c r="F19" s="268">
        <f t="shared" si="2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 customHeight="1">
      <c r="A20" s="207"/>
      <c r="B20" s="198">
        <f t="shared" si="1"/>
        <v>43964</v>
      </c>
      <c r="C20" s="199">
        <f t="shared" si="0"/>
        <v>4</v>
      </c>
      <c r="D20" s="200">
        <v>0</v>
      </c>
      <c r="E20" s="200">
        <v>0</v>
      </c>
      <c r="F20" s="268">
        <f t="shared" si="2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 customHeight="1">
      <c r="A21" s="207"/>
      <c r="B21" s="198">
        <f t="shared" si="1"/>
        <v>43965</v>
      </c>
      <c r="C21" s="199">
        <f t="shared" si="0"/>
        <v>5</v>
      </c>
      <c r="D21" s="200">
        <v>0</v>
      </c>
      <c r="E21" s="200">
        <v>0</v>
      </c>
      <c r="F21" s="268">
        <f t="shared" si="2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 customHeight="1">
      <c r="A22" s="207"/>
      <c r="B22" s="198">
        <f t="shared" si="1"/>
        <v>43966</v>
      </c>
      <c r="C22" s="199">
        <f t="shared" si="0"/>
        <v>6</v>
      </c>
      <c r="D22" s="200">
        <v>0</v>
      </c>
      <c r="E22" s="200">
        <v>0</v>
      </c>
      <c r="F22" s="268">
        <f t="shared" si="2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 customHeight="1">
      <c r="A23" s="207"/>
      <c r="B23" s="198">
        <f t="shared" si="1"/>
        <v>43967</v>
      </c>
      <c r="C23" s="199">
        <f t="shared" si="0"/>
        <v>7</v>
      </c>
      <c r="D23" s="200">
        <v>0</v>
      </c>
      <c r="E23" s="200">
        <v>0</v>
      </c>
      <c r="F23" s="268">
        <f t="shared" si="2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 customHeight="1">
      <c r="A24" s="207"/>
      <c r="B24" s="198">
        <f t="shared" si="1"/>
        <v>43968</v>
      </c>
      <c r="C24" s="199">
        <f t="shared" si="0"/>
        <v>1</v>
      </c>
      <c r="D24" s="200">
        <v>0</v>
      </c>
      <c r="E24" s="200">
        <v>0</v>
      </c>
      <c r="F24" s="268">
        <f t="shared" si="2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 customHeight="1">
      <c r="A25" s="207"/>
      <c r="B25" s="198">
        <f t="shared" si="1"/>
        <v>43969</v>
      </c>
      <c r="C25" s="199">
        <f t="shared" si="0"/>
        <v>2</v>
      </c>
      <c r="D25" s="200">
        <v>0</v>
      </c>
      <c r="E25" s="200">
        <v>0</v>
      </c>
      <c r="F25" s="268">
        <f t="shared" si="2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 customHeight="1">
      <c r="A26" s="207"/>
      <c r="B26" s="198">
        <f t="shared" si="1"/>
        <v>43970</v>
      </c>
      <c r="C26" s="199">
        <f t="shared" si="0"/>
        <v>3</v>
      </c>
      <c r="D26" s="200">
        <v>0</v>
      </c>
      <c r="E26" s="200">
        <v>0</v>
      </c>
      <c r="F26" s="268">
        <f t="shared" si="2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 customHeight="1">
      <c r="A27" s="207"/>
      <c r="B27" s="198">
        <f t="shared" si="1"/>
        <v>43971</v>
      </c>
      <c r="C27" s="199">
        <f t="shared" si="0"/>
        <v>4</v>
      </c>
      <c r="D27" s="200">
        <v>0</v>
      </c>
      <c r="E27" s="200">
        <v>0</v>
      </c>
      <c r="F27" s="268">
        <f t="shared" si="2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 customHeight="1">
      <c r="A28" s="207"/>
      <c r="B28" s="585">
        <f t="shared" si="1"/>
        <v>43972</v>
      </c>
      <c r="C28" s="586">
        <f t="shared" si="0"/>
        <v>5</v>
      </c>
      <c r="D28" s="587">
        <v>0</v>
      </c>
      <c r="E28" s="587">
        <v>0</v>
      </c>
      <c r="F28" s="588">
        <f t="shared" si="2"/>
        <v>0</v>
      </c>
      <c r="G28" s="587"/>
      <c r="H28" s="58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 customHeight="1">
      <c r="A29" s="207"/>
      <c r="B29" s="198">
        <f t="shared" si="1"/>
        <v>43973</v>
      </c>
      <c r="C29" s="199">
        <f t="shared" si="0"/>
        <v>6</v>
      </c>
      <c r="D29" s="200">
        <v>0</v>
      </c>
      <c r="E29" s="200">
        <v>0</v>
      </c>
      <c r="F29" s="268">
        <f t="shared" si="2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 customHeight="1">
      <c r="A30" s="207"/>
      <c r="B30" s="198">
        <f t="shared" si="1"/>
        <v>43974</v>
      </c>
      <c r="C30" s="199">
        <f t="shared" si="0"/>
        <v>7</v>
      </c>
      <c r="D30" s="200">
        <v>0</v>
      </c>
      <c r="E30" s="200">
        <v>0</v>
      </c>
      <c r="F30" s="268">
        <f t="shared" si="2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 customHeight="1">
      <c r="A31" s="207"/>
      <c r="B31" s="198">
        <f t="shared" si="1"/>
        <v>43975</v>
      </c>
      <c r="C31" s="199">
        <f t="shared" si="0"/>
        <v>1</v>
      </c>
      <c r="D31" s="200">
        <v>0</v>
      </c>
      <c r="E31" s="200">
        <v>0</v>
      </c>
      <c r="F31" s="268">
        <f t="shared" si="2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 customHeight="1">
      <c r="A32" s="207"/>
      <c r="B32" s="198">
        <f t="shared" si="1"/>
        <v>43976</v>
      </c>
      <c r="C32" s="199">
        <f t="shared" si="0"/>
        <v>2</v>
      </c>
      <c r="D32" s="200">
        <v>0</v>
      </c>
      <c r="E32" s="200">
        <v>0</v>
      </c>
      <c r="F32" s="268">
        <f t="shared" si="2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 customHeight="1">
      <c r="A33" s="207"/>
      <c r="B33" s="198">
        <f t="shared" si="1"/>
        <v>43977</v>
      </c>
      <c r="C33" s="199">
        <f t="shared" si="0"/>
        <v>3</v>
      </c>
      <c r="D33" s="200">
        <v>0</v>
      </c>
      <c r="E33" s="200">
        <v>0</v>
      </c>
      <c r="F33" s="268">
        <f t="shared" si="2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 customHeight="1">
      <c r="A34" s="207"/>
      <c r="B34" s="198">
        <f t="shared" si="1"/>
        <v>43978</v>
      </c>
      <c r="C34" s="199">
        <f t="shared" si="0"/>
        <v>4</v>
      </c>
      <c r="D34" s="200">
        <v>0</v>
      </c>
      <c r="E34" s="200">
        <v>0</v>
      </c>
      <c r="F34" s="268">
        <f t="shared" si="2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 customHeight="1">
      <c r="A35" s="207"/>
      <c r="B35" s="198">
        <f t="shared" si="1"/>
        <v>43979</v>
      </c>
      <c r="C35" s="199">
        <f t="shared" si="0"/>
        <v>5</v>
      </c>
      <c r="D35" s="200">
        <v>0</v>
      </c>
      <c r="E35" s="200">
        <v>0</v>
      </c>
      <c r="F35" s="268">
        <f t="shared" si="2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 customHeight="1">
      <c r="A36" s="207"/>
      <c r="B36" s="198">
        <f t="shared" si="1"/>
        <v>43980</v>
      </c>
      <c r="C36" s="199">
        <f t="shared" si="0"/>
        <v>6</v>
      </c>
      <c r="D36" s="200">
        <v>0</v>
      </c>
      <c r="E36" s="200">
        <v>0</v>
      </c>
      <c r="F36" s="268">
        <f t="shared" si="2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 customHeight="1">
      <c r="A37" s="207"/>
      <c r="B37" s="198">
        <f t="shared" si="1"/>
        <v>43981</v>
      </c>
      <c r="C37" s="199">
        <f t="shared" si="0"/>
        <v>7</v>
      </c>
      <c r="D37" s="200">
        <v>0</v>
      </c>
      <c r="E37" s="200">
        <v>0</v>
      </c>
      <c r="F37" s="268">
        <f t="shared" si="2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>
        <f t="shared" si="1"/>
        <v>43982</v>
      </c>
      <c r="C38" s="199">
        <f t="shared" si="0"/>
        <v>1</v>
      </c>
      <c r="D38" s="200">
        <v>0</v>
      </c>
      <c r="E38" s="200">
        <v>0</v>
      </c>
      <c r="F38" s="268">
        <f t="shared" si="2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65" t="s">
        <v>309</v>
      </c>
      <c r="D40" s="665"/>
      <c r="E40" s="666"/>
      <c r="F40" s="576">
        <f>SUM(H39,PRODUCT(SUM(J40,J42,J43),Stammdaten!H28))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 customHeight="1">
      <c r="A41" s="211"/>
      <c r="B41" s="592">
        <f>Ostern(gewJahr)</f>
        <v>43933</v>
      </c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April!J41-J40</f>
        <v>30</v>
      </c>
      <c r="K41" s="208"/>
      <c r="L41" s="208"/>
      <c r="M41" s="208"/>
      <c r="N41" s="208"/>
      <c r="O41" s="207"/>
    </row>
    <row r="42" spans="1:15" s="210" customFormat="1" ht="11.25" customHeight="1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 customHeight="1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12.75" hidden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3:E43"/>
    <mergeCell ref="C44:E44"/>
    <mergeCell ref="F51:H51"/>
    <mergeCell ref="F52:H52"/>
    <mergeCell ref="C49:D49"/>
    <mergeCell ref="C45:E45"/>
    <mergeCell ref="C46:E46"/>
    <mergeCell ref="C47:E47"/>
    <mergeCell ref="J2:J6"/>
    <mergeCell ref="G41:I41"/>
    <mergeCell ref="B7:C7"/>
    <mergeCell ref="B4:C4"/>
    <mergeCell ref="G42:I42"/>
    <mergeCell ref="G43:I43"/>
    <mergeCell ref="C40:E40"/>
    <mergeCell ref="G40:I40"/>
    <mergeCell ref="C41:E41"/>
    <mergeCell ref="C42:E42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OR($B9=$B$41+39,$B9=$B$41+49,$B9=$B$41+50,$B9=$B$41+60)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OR($B9=$B$41+39,$B9=$B$41+49,$B9=$B$41+50,$B9=$B$41+60)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OR($B9=$B$41+39,$B9=$B$41+49,$B9=$B$41+50,$B9=$B$41+60)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60"/>
  <sheetViews>
    <sheetView defaultGridColor="0" zoomScalePageLayoutView="0" colorId="22" workbookViewId="0" topLeftCell="B15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 customHeight="1">
      <c r="B2" s="446" t="str">
        <f>"Arbeitszeitachweis Juni "&amp;gewJahr</f>
        <v>Arbeitszeitachweis Juni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5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2:14" ht="23.25" customHeight="1"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79"/>
      <c r="L7" s="78"/>
      <c r="M7" s="78"/>
      <c r="N7" s="78"/>
    </row>
    <row r="8" spans="2:14" ht="12" customHeight="1">
      <c r="B8" s="198">
        <f>DATE(gewJahr,6,1)</f>
        <v>43983</v>
      </c>
      <c r="C8" s="199">
        <f aca="true" t="shared" si="0" ref="C8:C37">WEEKDAY(B8)</f>
        <v>2</v>
      </c>
      <c r="D8" s="200">
        <v>0</v>
      </c>
      <c r="E8" s="200">
        <v>0</v>
      </c>
      <c r="F8" s="463">
        <f aca="true" t="shared" si="1" ref="F8:F37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79"/>
      <c r="M8" s="79"/>
      <c r="N8" s="79"/>
    </row>
    <row r="9" spans="2:14" ht="12" customHeight="1">
      <c r="B9" s="198">
        <f aca="true" t="shared" si="2" ref="B9:B37">B8+1</f>
        <v>43984</v>
      </c>
      <c r="C9" s="199">
        <f t="shared" si="0"/>
        <v>3</v>
      </c>
      <c r="D9" s="200">
        <v>0</v>
      </c>
      <c r="E9" s="200">
        <v>0</v>
      </c>
      <c r="F9" s="463">
        <f t="shared" si="1"/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65"/>
      <c r="M9" s="65"/>
      <c r="N9" s="65"/>
    </row>
    <row r="10" spans="2:14" ht="12" customHeight="1">
      <c r="B10" s="198">
        <f t="shared" si="2"/>
        <v>43985</v>
      </c>
      <c r="C10" s="199">
        <f t="shared" si="0"/>
        <v>4</v>
      </c>
      <c r="D10" s="200">
        <v>0</v>
      </c>
      <c r="E10" s="200">
        <v>0</v>
      </c>
      <c r="F10" s="463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65"/>
      <c r="M10" s="65"/>
      <c r="N10" s="65"/>
    </row>
    <row r="11" spans="2:14" ht="12" customHeight="1">
      <c r="B11" s="198">
        <f t="shared" si="2"/>
        <v>43986</v>
      </c>
      <c r="C11" s="199">
        <f t="shared" si="0"/>
        <v>5</v>
      </c>
      <c r="D11" s="200">
        <v>0</v>
      </c>
      <c r="E11" s="200">
        <v>0</v>
      </c>
      <c r="F11" s="463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65"/>
      <c r="M11" s="65"/>
      <c r="N11" s="65"/>
    </row>
    <row r="12" spans="2:14" ht="12" customHeight="1">
      <c r="B12" s="198">
        <f t="shared" si="2"/>
        <v>43987</v>
      </c>
      <c r="C12" s="199">
        <f t="shared" si="0"/>
        <v>6</v>
      </c>
      <c r="D12" s="200">
        <v>0</v>
      </c>
      <c r="E12" s="200">
        <v>0</v>
      </c>
      <c r="F12" s="463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65"/>
      <c r="M12" s="65"/>
      <c r="N12" s="65"/>
    </row>
    <row r="13" spans="2:14" ht="12" customHeight="1">
      <c r="B13" s="198">
        <f t="shared" si="2"/>
        <v>43988</v>
      </c>
      <c r="C13" s="199">
        <f t="shared" si="0"/>
        <v>7</v>
      </c>
      <c r="D13" s="200">
        <v>0</v>
      </c>
      <c r="E13" s="200">
        <v>0</v>
      </c>
      <c r="F13" s="463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79"/>
      <c r="M13" s="65"/>
      <c r="N13" s="65"/>
    </row>
    <row r="14" spans="2:14" ht="12" customHeight="1">
      <c r="B14" s="198">
        <f t="shared" si="2"/>
        <v>43989</v>
      </c>
      <c r="C14" s="199">
        <f t="shared" si="0"/>
        <v>1</v>
      </c>
      <c r="D14" s="200">
        <v>0</v>
      </c>
      <c r="E14" s="200">
        <v>0</v>
      </c>
      <c r="F14" s="463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65"/>
      <c r="M14" s="65"/>
      <c r="N14" s="65"/>
    </row>
    <row r="15" spans="2:14" ht="12" customHeight="1">
      <c r="B15" s="198">
        <f t="shared" si="2"/>
        <v>43990</v>
      </c>
      <c r="C15" s="199">
        <f t="shared" si="0"/>
        <v>2</v>
      </c>
      <c r="D15" s="200">
        <v>0</v>
      </c>
      <c r="E15" s="200">
        <v>0</v>
      </c>
      <c r="F15" s="463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65"/>
      <c r="M15" s="65"/>
      <c r="N15" s="65"/>
    </row>
    <row r="16" spans="2:14" ht="12" customHeight="1">
      <c r="B16" s="198">
        <f t="shared" si="2"/>
        <v>43991</v>
      </c>
      <c r="C16" s="199">
        <f t="shared" si="0"/>
        <v>3</v>
      </c>
      <c r="D16" s="200">
        <v>0</v>
      </c>
      <c r="E16" s="200">
        <v>0</v>
      </c>
      <c r="F16" s="463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65"/>
      <c r="M16" s="65"/>
      <c r="N16" s="65"/>
    </row>
    <row r="17" spans="2:14" ht="12" customHeight="1">
      <c r="B17" s="198">
        <f t="shared" si="2"/>
        <v>43992</v>
      </c>
      <c r="C17" s="199">
        <f t="shared" si="0"/>
        <v>4</v>
      </c>
      <c r="D17" s="200">
        <v>0</v>
      </c>
      <c r="E17" s="200">
        <v>0</v>
      </c>
      <c r="F17" s="463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65"/>
      <c r="M17" s="65"/>
      <c r="N17" s="65"/>
    </row>
    <row r="18" spans="2:14" ht="12" customHeight="1">
      <c r="B18" s="198">
        <f t="shared" si="2"/>
        <v>43993</v>
      </c>
      <c r="C18" s="199">
        <f t="shared" si="0"/>
        <v>5</v>
      </c>
      <c r="D18" s="200">
        <v>0</v>
      </c>
      <c r="E18" s="200">
        <v>0</v>
      </c>
      <c r="F18" s="463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65"/>
      <c r="M18" s="65"/>
      <c r="N18" s="65"/>
    </row>
    <row r="19" spans="2:14" ht="12" customHeight="1">
      <c r="B19" s="198">
        <f t="shared" si="2"/>
        <v>43994</v>
      </c>
      <c r="C19" s="199">
        <f t="shared" si="0"/>
        <v>6</v>
      </c>
      <c r="D19" s="200">
        <v>0</v>
      </c>
      <c r="E19" s="200">
        <v>0</v>
      </c>
      <c r="F19" s="463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65"/>
      <c r="M19" s="65"/>
      <c r="N19" s="65"/>
    </row>
    <row r="20" spans="2:14" ht="12" customHeight="1">
      <c r="B20" s="198">
        <f t="shared" si="2"/>
        <v>43995</v>
      </c>
      <c r="C20" s="199">
        <f t="shared" si="0"/>
        <v>7</v>
      </c>
      <c r="D20" s="200">
        <v>0</v>
      </c>
      <c r="E20" s="200">
        <v>0</v>
      </c>
      <c r="F20" s="463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65"/>
      <c r="M20" s="65"/>
      <c r="N20" s="65"/>
    </row>
    <row r="21" spans="2:14" ht="12" customHeight="1">
      <c r="B21" s="198">
        <f t="shared" si="2"/>
        <v>43996</v>
      </c>
      <c r="C21" s="199">
        <f t="shared" si="0"/>
        <v>1</v>
      </c>
      <c r="D21" s="200">
        <v>0</v>
      </c>
      <c r="E21" s="200">
        <v>0</v>
      </c>
      <c r="F21" s="463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65"/>
      <c r="M21" s="65"/>
      <c r="N21" s="65"/>
    </row>
    <row r="22" spans="2:14" ht="12" customHeight="1">
      <c r="B22" s="198">
        <f t="shared" si="2"/>
        <v>43997</v>
      </c>
      <c r="C22" s="199">
        <f t="shared" si="0"/>
        <v>2</v>
      </c>
      <c r="D22" s="200">
        <v>0</v>
      </c>
      <c r="E22" s="200">
        <v>0</v>
      </c>
      <c r="F22" s="463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65"/>
      <c r="M22" s="65"/>
      <c r="N22" s="65"/>
    </row>
    <row r="23" spans="2:14" ht="12" customHeight="1">
      <c r="B23" s="198">
        <f t="shared" si="2"/>
        <v>43998</v>
      </c>
      <c r="C23" s="199">
        <f t="shared" si="0"/>
        <v>3</v>
      </c>
      <c r="D23" s="200">
        <v>0</v>
      </c>
      <c r="E23" s="200">
        <v>0</v>
      </c>
      <c r="F23" s="463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65"/>
      <c r="M23" s="65"/>
      <c r="N23" s="65"/>
    </row>
    <row r="24" spans="2:14" ht="12" customHeight="1">
      <c r="B24" s="198">
        <f t="shared" si="2"/>
        <v>43999</v>
      </c>
      <c r="C24" s="199">
        <f t="shared" si="0"/>
        <v>4</v>
      </c>
      <c r="D24" s="200">
        <v>0</v>
      </c>
      <c r="E24" s="200">
        <v>0</v>
      </c>
      <c r="F24" s="463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65"/>
      <c r="M24" s="65"/>
      <c r="N24" s="65"/>
    </row>
    <row r="25" spans="2:14" ht="12" customHeight="1">
      <c r="B25" s="198">
        <f t="shared" si="2"/>
        <v>44000</v>
      </c>
      <c r="C25" s="199">
        <f t="shared" si="0"/>
        <v>5</v>
      </c>
      <c r="D25" s="200">
        <v>0</v>
      </c>
      <c r="E25" s="200">
        <v>0</v>
      </c>
      <c r="F25" s="463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65"/>
      <c r="M25" s="65"/>
      <c r="N25" s="65"/>
    </row>
    <row r="26" spans="2:14" ht="12" customHeight="1">
      <c r="B26" s="198">
        <f t="shared" si="2"/>
        <v>44001</v>
      </c>
      <c r="C26" s="199">
        <f t="shared" si="0"/>
        <v>6</v>
      </c>
      <c r="D26" s="200">
        <v>0</v>
      </c>
      <c r="E26" s="200">
        <v>0</v>
      </c>
      <c r="F26" s="463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65"/>
      <c r="M26" s="65"/>
      <c r="N26" s="65"/>
    </row>
    <row r="27" spans="2:14" ht="12" customHeight="1">
      <c r="B27" s="198">
        <f t="shared" si="2"/>
        <v>44002</v>
      </c>
      <c r="C27" s="199">
        <f t="shared" si="0"/>
        <v>7</v>
      </c>
      <c r="D27" s="200">
        <v>0</v>
      </c>
      <c r="E27" s="200">
        <v>0</v>
      </c>
      <c r="F27" s="463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65"/>
      <c r="M27" s="65"/>
      <c r="N27" s="65"/>
    </row>
    <row r="28" spans="2:14" ht="12" customHeight="1">
      <c r="B28" s="198">
        <f t="shared" si="2"/>
        <v>44003</v>
      </c>
      <c r="C28" s="199">
        <f t="shared" si="0"/>
        <v>1</v>
      </c>
      <c r="D28" s="200">
        <v>0</v>
      </c>
      <c r="E28" s="200">
        <v>0</v>
      </c>
      <c r="F28" s="463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65"/>
      <c r="M28" s="65"/>
      <c r="N28" s="65"/>
    </row>
    <row r="29" spans="2:14" ht="12" customHeight="1">
      <c r="B29" s="198">
        <f t="shared" si="2"/>
        <v>44004</v>
      </c>
      <c r="C29" s="199">
        <f t="shared" si="0"/>
        <v>2</v>
      </c>
      <c r="D29" s="200">
        <v>0</v>
      </c>
      <c r="E29" s="200">
        <v>0</v>
      </c>
      <c r="F29" s="463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65"/>
      <c r="M29" s="65"/>
      <c r="N29" s="65"/>
    </row>
    <row r="30" spans="2:14" ht="12" customHeight="1">
      <c r="B30" s="198">
        <f t="shared" si="2"/>
        <v>44005</v>
      </c>
      <c r="C30" s="199">
        <f t="shared" si="0"/>
        <v>3</v>
      </c>
      <c r="D30" s="200">
        <v>0</v>
      </c>
      <c r="E30" s="200">
        <v>0</v>
      </c>
      <c r="F30" s="463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65"/>
      <c r="M30" s="65"/>
      <c r="N30" s="65"/>
    </row>
    <row r="31" spans="2:14" ht="12" customHeight="1">
      <c r="B31" s="198">
        <f t="shared" si="2"/>
        <v>44006</v>
      </c>
      <c r="C31" s="199">
        <f t="shared" si="0"/>
        <v>4</v>
      </c>
      <c r="D31" s="200">
        <v>0</v>
      </c>
      <c r="E31" s="200">
        <v>0</v>
      </c>
      <c r="F31" s="463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65"/>
      <c r="M31" s="65"/>
      <c r="N31" s="65"/>
    </row>
    <row r="32" spans="2:14" ht="12" customHeight="1">
      <c r="B32" s="198">
        <f t="shared" si="2"/>
        <v>44007</v>
      </c>
      <c r="C32" s="199">
        <f t="shared" si="0"/>
        <v>5</v>
      </c>
      <c r="D32" s="200">
        <v>0</v>
      </c>
      <c r="E32" s="200">
        <v>0</v>
      </c>
      <c r="F32" s="463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65"/>
      <c r="M32" s="65"/>
      <c r="N32" s="65"/>
    </row>
    <row r="33" spans="2:14" ht="12" customHeight="1">
      <c r="B33" s="198">
        <f t="shared" si="2"/>
        <v>44008</v>
      </c>
      <c r="C33" s="199">
        <f t="shared" si="0"/>
        <v>6</v>
      </c>
      <c r="D33" s="200">
        <v>0</v>
      </c>
      <c r="E33" s="200">
        <v>0</v>
      </c>
      <c r="F33" s="463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65"/>
      <c r="M33" s="65"/>
      <c r="N33" s="65"/>
    </row>
    <row r="34" spans="2:14" ht="12" customHeight="1">
      <c r="B34" s="198">
        <f t="shared" si="2"/>
        <v>44009</v>
      </c>
      <c r="C34" s="199">
        <f t="shared" si="0"/>
        <v>7</v>
      </c>
      <c r="D34" s="200">
        <v>0</v>
      </c>
      <c r="E34" s="200">
        <v>0</v>
      </c>
      <c r="F34" s="463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65"/>
      <c r="M34" s="65"/>
      <c r="N34" s="65"/>
    </row>
    <row r="35" spans="2:14" ht="12" customHeight="1">
      <c r="B35" s="198">
        <f t="shared" si="2"/>
        <v>44010</v>
      </c>
      <c r="C35" s="199">
        <f t="shared" si="0"/>
        <v>1</v>
      </c>
      <c r="D35" s="200">
        <v>0</v>
      </c>
      <c r="E35" s="200">
        <v>0</v>
      </c>
      <c r="F35" s="463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65"/>
      <c r="M35" s="65"/>
      <c r="N35" s="65"/>
    </row>
    <row r="36" spans="2:14" ht="12" customHeight="1">
      <c r="B36" s="198">
        <f t="shared" si="2"/>
        <v>44011</v>
      </c>
      <c r="C36" s="199">
        <f t="shared" si="0"/>
        <v>2</v>
      </c>
      <c r="D36" s="200">
        <v>0</v>
      </c>
      <c r="E36" s="200">
        <v>0</v>
      </c>
      <c r="F36" s="463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65"/>
      <c r="M36" s="65"/>
      <c r="N36" s="65"/>
    </row>
    <row r="37" spans="2:14" ht="12" customHeight="1">
      <c r="B37" s="198">
        <f t="shared" si="2"/>
        <v>44012</v>
      </c>
      <c r="C37" s="199">
        <f t="shared" si="0"/>
        <v>3</v>
      </c>
      <c r="D37" s="200">
        <v>0</v>
      </c>
      <c r="E37" s="200">
        <v>0</v>
      </c>
      <c r="F37" s="463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65"/>
      <c r="M37" s="65"/>
      <c r="N37" s="65"/>
    </row>
    <row r="38" spans="2:14" ht="12" customHeight="1">
      <c r="B38" s="198"/>
      <c r="C38" s="199"/>
      <c r="D38" s="200">
        <v>0</v>
      </c>
      <c r="E38" s="200">
        <v>0</v>
      </c>
      <c r="F38" s="463"/>
      <c r="G38" s="200"/>
      <c r="H38" s="203"/>
      <c r="I38" s="196"/>
      <c r="J38" s="244"/>
      <c r="K38" s="208"/>
      <c r="L38" s="65"/>
      <c r="M38" s="65"/>
      <c r="N38" s="65"/>
    </row>
    <row r="39" spans="1:14" ht="12" customHeight="1">
      <c r="A39" s="165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65"/>
      <c r="M39" s="65"/>
      <c r="N39" s="65"/>
    </row>
    <row r="40" spans="1:14" ht="12" customHeight="1">
      <c r="A40" s="165"/>
      <c r="B40" s="188"/>
      <c r="C40" s="665" t="s">
        <v>309</v>
      </c>
      <c r="D40" s="665"/>
      <c r="E40" s="666"/>
      <c r="F40" s="576">
        <f>SUM(H39,PRODUCT(SUM(J40,J42,J43),Stammdaten!H28))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65"/>
      <c r="M40" s="65"/>
      <c r="N40" s="65"/>
    </row>
    <row r="41" spans="1:14" ht="12" customHeight="1">
      <c r="A41" s="165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Mai!J41-J40</f>
        <v>30</v>
      </c>
      <c r="K41" s="208"/>
      <c r="L41" s="65"/>
      <c r="M41" s="65"/>
      <c r="N41" s="65"/>
    </row>
    <row r="42" spans="1:14" ht="12" customHeight="1">
      <c r="A42" s="165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176"/>
      <c r="M42" s="82">
        <f>COUNTIF(M8:M38,"k")</f>
        <v>0</v>
      </c>
      <c r="N42" s="65"/>
    </row>
    <row r="43" spans="1:14" ht="12" customHeight="1">
      <c r="A43" s="165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65"/>
      <c r="M43" s="65"/>
      <c r="N43" s="65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11"/>
      <c r="F50" s="11"/>
      <c r="G50" s="11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3:E43"/>
    <mergeCell ref="C44:E44"/>
    <mergeCell ref="F51:H51"/>
    <mergeCell ref="F52:H52"/>
    <mergeCell ref="C49:D49"/>
    <mergeCell ref="C45:E45"/>
    <mergeCell ref="C46:E46"/>
    <mergeCell ref="C47:E47"/>
    <mergeCell ref="J2:J6"/>
    <mergeCell ref="G41:I41"/>
    <mergeCell ref="B7:C7"/>
    <mergeCell ref="B4:C4"/>
    <mergeCell ref="G42:I42"/>
    <mergeCell ref="G43:I43"/>
    <mergeCell ref="C40:E40"/>
    <mergeCell ref="G40:I40"/>
    <mergeCell ref="C41:E41"/>
    <mergeCell ref="C42:E42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OR($B38=$B$41,$B38=$B$41+1,$B38=$B$41-2)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OR($B38=$B$41,$B38=$B$41+1,$B38=$B$41-2)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OR($B38=$B$41,$B38=$B$41+1,$B38=$B$41-2)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OR($B8=$B$41+39,$B8=$B$41+49,$B8=$B$41+50,$B8=$B$41+60)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OR($B8=$B$41+39,$B8=$B$41+49,$B8=$B$41+50,$B8=$B$41+60)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OR($B8=$B$41+39,$B8=$B$41+49,$B8=$B$41+50,$B8=$B$41+60)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OR($B8=$B$41+39,$B8=$B$41+49,$B8=$B$41+50,$B8=$B$41+60)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60"/>
  <sheetViews>
    <sheetView defaultGridColor="0" zoomScalePageLayoutView="0" colorId="22" workbookViewId="0" topLeftCell="A1">
      <selection activeCell="G10" sqref="G10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Juli "&amp;gewJahr</f>
        <v>Arbeitszeitachweis Juli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4"/>
      <c r="C4" s="674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2.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2" customHeight="1">
      <c r="A8" s="207"/>
      <c r="B8" s="198">
        <f>DATE(gewJahr,7,1)</f>
        <v>44013</v>
      </c>
      <c r="C8" s="199">
        <f aca="true" t="shared" si="0" ref="C8:C38">WEEKDAY(B8)</f>
        <v>4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2" customHeight="1">
      <c r="A9" s="207"/>
      <c r="B9" s="198">
        <f aca="true" t="shared" si="2" ref="B9:B38">B8+1</f>
        <v>44014</v>
      </c>
      <c r="C9" s="199">
        <f t="shared" si="0"/>
        <v>5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2" customHeight="1">
      <c r="A10" s="207"/>
      <c r="B10" s="198">
        <f t="shared" si="2"/>
        <v>44015</v>
      </c>
      <c r="C10" s="199">
        <f t="shared" si="0"/>
        <v>6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2" customHeight="1">
      <c r="A11" s="207"/>
      <c r="B11" s="198">
        <f t="shared" si="2"/>
        <v>44016</v>
      </c>
      <c r="C11" s="199">
        <f t="shared" si="0"/>
        <v>7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2" customHeight="1">
      <c r="A12" s="207"/>
      <c r="B12" s="198">
        <f t="shared" si="2"/>
        <v>44017</v>
      </c>
      <c r="C12" s="199">
        <f t="shared" si="0"/>
        <v>1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2" customHeight="1">
      <c r="A13" s="207"/>
      <c r="B13" s="198">
        <f t="shared" si="2"/>
        <v>44018</v>
      </c>
      <c r="C13" s="199">
        <f t="shared" si="0"/>
        <v>2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2" customHeight="1">
      <c r="A14" s="207"/>
      <c r="B14" s="198">
        <f t="shared" si="2"/>
        <v>44019</v>
      </c>
      <c r="C14" s="199">
        <f t="shared" si="0"/>
        <v>3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2" customHeight="1">
      <c r="A15" s="207"/>
      <c r="B15" s="198">
        <f t="shared" si="2"/>
        <v>44020</v>
      </c>
      <c r="C15" s="199">
        <f t="shared" si="0"/>
        <v>4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2" customHeight="1">
      <c r="A16" s="207"/>
      <c r="B16" s="198">
        <f t="shared" si="2"/>
        <v>44021</v>
      </c>
      <c r="C16" s="199">
        <f t="shared" si="0"/>
        <v>5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2" customHeight="1">
      <c r="A17" s="207"/>
      <c r="B17" s="198">
        <f t="shared" si="2"/>
        <v>44022</v>
      </c>
      <c r="C17" s="199">
        <f t="shared" si="0"/>
        <v>6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2" customHeight="1">
      <c r="A18" s="207"/>
      <c r="B18" s="198">
        <f t="shared" si="2"/>
        <v>44023</v>
      </c>
      <c r="C18" s="199">
        <f t="shared" si="0"/>
        <v>7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2" customHeight="1">
      <c r="A19" s="207"/>
      <c r="B19" s="198">
        <f t="shared" si="2"/>
        <v>44024</v>
      </c>
      <c r="C19" s="199">
        <f t="shared" si="0"/>
        <v>1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2" customHeight="1">
      <c r="A20" s="207"/>
      <c r="B20" s="198">
        <f t="shared" si="2"/>
        <v>44025</v>
      </c>
      <c r="C20" s="199">
        <f t="shared" si="0"/>
        <v>2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2" customHeight="1">
      <c r="A21" s="207"/>
      <c r="B21" s="198">
        <f t="shared" si="2"/>
        <v>44026</v>
      </c>
      <c r="C21" s="199">
        <f t="shared" si="0"/>
        <v>3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2" customHeight="1">
      <c r="A22" s="207"/>
      <c r="B22" s="198">
        <f t="shared" si="2"/>
        <v>44027</v>
      </c>
      <c r="C22" s="199">
        <f t="shared" si="0"/>
        <v>4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2" customHeight="1">
      <c r="A23" s="207"/>
      <c r="B23" s="198">
        <f t="shared" si="2"/>
        <v>44028</v>
      </c>
      <c r="C23" s="199">
        <f t="shared" si="0"/>
        <v>5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2" customHeight="1">
      <c r="A24" s="207"/>
      <c r="B24" s="198">
        <f t="shared" si="2"/>
        <v>44029</v>
      </c>
      <c r="C24" s="199">
        <f t="shared" si="0"/>
        <v>6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2" customHeight="1">
      <c r="A25" s="207"/>
      <c r="B25" s="198">
        <f t="shared" si="2"/>
        <v>44030</v>
      </c>
      <c r="C25" s="199">
        <f t="shared" si="0"/>
        <v>7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2" customHeight="1">
      <c r="A26" s="207"/>
      <c r="B26" s="198">
        <f t="shared" si="2"/>
        <v>44031</v>
      </c>
      <c r="C26" s="199">
        <f t="shared" si="0"/>
        <v>1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2" customHeight="1">
      <c r="A27" s="207"/>
      <c r="B27" s="198">
        <f t="shared" si="2"/>
        <v>44032</v>
      </c>
      <c r="C27" s="199">
        <f t="shared" si="0"/>
        <v>2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2" customHeight="1">
      <c r="A28" s="207"/>
      <c r="B28" s="198">
        <f t="shared" si="2"/>
        <v>44033</v>
      </c>
      <c r="C28" s="199">
        <f t="shared" si="0"/>
        <v>3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2" customHeight="1">
      <c r="A29" s="207"/>
      <c r="B29" s="198">
        <f t="shared" si="2"/>
        <v>44034</v>
      </c>
      <c r="C29" s="199">
        <f t="shared" si="0"/>
        <v>4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2" customHeight="1">
      <c r="A30" s="207"/>
      <c r="B30" s="198">
        <f t="shared" si="2"/>
        <v>44035</v>
      </c>
      <c r="C30" s="199">
        <f t="shared" si="0"/>
        <v>5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2" customHeight="1">
      <c r="A31" s="207"/>
      <c r="B31" s="198">
        <f t="shared" si="2"/>
        <v>44036</v>
      </c>
      <c r="C31" s="199">
        <f t="shared" si="0"/>
        <v>6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2" customHeight="1">
      <c r="A32" s="207"/>
      <c r="B32" s="198">
        <f t="shared" si="2"/>
        <v>44037</v>
      </c>
      <c r="C32" s="199">
        <f t="shared" si="0"/>
        <v>7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2" customHeight="1">
      <c r="A33" s="207"/>
      <c r="B33" s="198">
        <f t="shared" si="2"/>
        <v>44038</v>
      </c>
      <c r="C33" s="199">
        <f t="shared" si="0"/>
        <v>1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2" customHeight="1">
      <c r="A34" s="207"/>
      <c r="B34" s="198">
        <f t="shared" si="2"/>
        <v>44039</v>
      </c>
      <c r="C34" s="199">
        <f t="shared" si="0"/>
        <v>2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2" customHeight="1">
      <c r="A35" s="207"/>
      <c r="B35" s="198">
        <f t="shared" si="2"/>
        <v>44040</v>
      </c>
      <c r="C35" s="199">
        <f t="shared" si="0"/>
        <v>3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2" customHeight="1">
      <c r="A36" s="207"/>
      <c r="B36" s="198">
        <f t="shared" si="2"/>
        <v>44041</v>
      </c>
      <c r="C36" s="199">
        <f t="shared" si="0"/>
        <v>4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2" customHeight="1">
      <c r="A37" s="207"/>
      <c r="B37" s="198">
        <f t="shared" si="2"/>
        <v>44042</v>
      </c>
      <c r="C37" s="199">
        <f t="shared" si="0"/>
        <v>5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>
        <f t="shared" si="2"/>
        <v>44043</v>
      </c>
      <c r="C38" s="199">
        <f t="shared" si="0"/>
        <v>6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2" customHeight="1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Juni!J41-J40</f>
        <v>30</v>
      </c>
      <c r="K41" s="208"/>
      <c r="L41" s="208"/>
      <c r="M41" s="208"/>
      <c r="N41" s="208"/>
      <c r="O41" s="207"/>
    </row>
    <row r="42" spans="1:15" s="210" customFormat="1" ht="12" customHeight="1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2" customHeight="1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653"/>
      <c r="F50" s="653"/>
      <c r="G50" s="653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12.75" hidden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9">
    <mergeCell ref="G42:I42"/>
    <mergeCell ref="B7:C7"/>
    <mergeCell ref="B4:C4"/>
    <mergeCell ref="J2:J6"/>
    <mergeCell ref="G41:I41"/>
    <mergeCell ref="C40:E40"/>
    <mergeCell ref="G40:I40"/>
    <mergeCell ref="C41:E41"/>
    <mergeCell ref="C42:E42"/>
    <mergeCell ref="G43:I43"/>
    <mergeCell ref="F51:H51"/>
    <mergeCell ref="F52:H52"/>
    <mergeCell ref="E50:G50"/>
    <mergeCell ref="C49:D49"/>
    <mergeCell ref="C47:E47"/>
    <mergeCell ref="C43:E43"/>
    <mergeCell ref="C44:E44"/>
    <mergeCell ref="C45:E45"/>
    <mergeCell ref="C46:E46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60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11.0039062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August "&amp;gewJahr</f>
        <v>Arbeitszeitachweis August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2.7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1.25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3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4.7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DATE(gewJahr,8,1)</f>
        <v>44044</v>
      </c>
      <c r="C8" s="199">
        <f aca="true" t="shared" si="0" ref="C8:C38">WEEKDAY(B8)</f>
        <v>7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8">B8+1</f>
        <v>44045</v>
      </c>
      <c r="C9" s="199">
        <f t="shared" si="0"/>
        <v>1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2"/>
        <v>44046</v>
      </c>
      <c r="C10" s="199">
        <f t="shared" si="0"/>
        <v>2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2"/>
        <v>44047</v>
      </c>
      <c r="C11" s="199">
        <f t="shared" si="0"/>
        <v>3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2"/>
        <v>44048</v>
      </c>
      <c r="C12" s="199">
        <f t="shared" si="0"/>
        <v>4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2"/>
        <v>44049</v>
      </c>
      <c r="C13" s="199">
        <f t="shared" si="0"/>
        <v>5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2"/>
        <v>44050</v>
      </c>
      <c r="C14" s="199">
        <f t="shared" si="0"/>
        <v>6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2"/>
        <v>44051</v>
      </c>
      <c r="C15" s="199">
        <f t="shared" si="0"/>
        <v>7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2"/>
        <v>44052</v>
      </c>
      <c r="C16" s="199">
        <f t="shared" si="0"/>
        <v>1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2"/>
        <v>44053</v>
      </c>
      <c r="C17" s="199">
        <f t="shared" si="0"/>
        <v>2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2"/>
        <v>44054</v>
      </c>
      <c r="C18" s="199">
        <f t="shared" si="0"/>
        <v>3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2"/>
        <v>44055</v>
      </c>
      <c r="C19" s="199">
        <f t="shared" si="0"/>
        <v>4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2"/>
        <v>44056</v>
      </c>
      <c r="C20" s="199">
        <f t="shared" si="0"/>
        <v>5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2"/>
        <v>44057</v>
      </c>
      <c r="C21" s="199">
        <f t="shared" si="0"/>
        <v>6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223">
        <f>B21+1</f>
        <v>44058</v>
      </c>
      <c r="C22" s="224">
        <f>WEEKDAY(B22)</f>
        <v>7</v>
      </c>
      <c r="D22" s="225">
        <v>0</v>
      </c>
      <c r="E22" s="225">
        <v>0</v>
      </c>
      <c r="F22" s="225">
        <f>MAX(IF(D22&lt;=E22,E22-D22,"24:00"-D22+E22)-G22,0)</f>
        <v>0</v>
      </c>
      <c r="G22" s="225"/>
      <c r="H22" s="225"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2"/>
        <v>44059</v>
      </c>
      <c r="C23" s="199">
        <f t="shared" si="0"/>
        <v>1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2"/>
        <v>44060</v>
      </c>
      <c r="C24" s="199">
        <f t="shared" si="0"/>
        <v>2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2"/>
        <v>44061</v>
      </c>
      <c r="C25" s="199">
        <f t="shared" si="0"/>
        <v>3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2"/>
        <v>44062</v>
      </c>
      <c r="C26" s="199">
        <f t="shared" si="0"/>
        <v>4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2"/>
        <v>44063</v>
      </c>
      <c r="C27" s="199">
        <f t="shared" si="0"/>
        <v>5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2"/>
        <v>44064</v>
      </c>
      <c r="C28" s="199">
        <f t="shared" si="0"/>
        <v>6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2"/>
        <v>44065</v>
      </c>
      <c r="C29" s="199">
        <f t="shared" si="0"/>
        <v>7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2"/>
        <v>44066</v>
      </c>
      <c r="C30" s="199">
        <f t="shared" si="0"/>
        <v>1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2"/>
        <v>44067</v>
      </c>
      <c r="C31" s="199">
        <f t="shared" si="0"/>
        <v>2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2"/>
        <v>44068</v>
      </c>
      <c r="C32" s="199">
        <f t="shared" si="0"/>
        <v>3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2"/>
        <v>44069</v>
      </c>
      <c r="C33" s="199">
        <f t="shared" si="0"/>
        <v>4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2"/>
        <v>44070</v>
      </c>
      <c r="C34" s="199">
        <f t="shared" si="0"/>
        <v>5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2"/>
        <v>44071</v>
      </c>
      <c r="C35" s="199">
        <f t="shared" si="0"/>
        <v>6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2"/>
        <v>44072</v>
      </c>
      <c r="C36" s="199">
        <f t="shared" si="0"/>
        <v>7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2"/>
        <v>44073</v>
      </c>
      <c r="C37" s="199">
        <f t="shared" si="0"/>
        <v>1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9.75">
      <c r="A38" s="207"/>
      <c r="B38" s="198">
        <f t="shared" si="2"/>
        <v>44074</v>
      </c>
      <c r="C38" s="199">
        <f t="shared" si="0"/>
        <v>2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Juli!J41-J40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B4:C4"/>
    <mergeCell ref="J2:J6"/>
    <mergeCell ref="G41:I41"/>
    <mergeCell ref="C40:E40"/>
    <mergeCell ref="G40:I40"/>
    <mergeCell ref="C41:E41"/>
    <mergeCell ref="G42:I42"/>
    <mergeCell ref="C42:E42"/>
    <mergeCell ref="C43:E43"/>
    <mergeCell ref="C44:E44"/>
    <mergeCell ref="C45:E45"/>
    <mergeCell ref="B7:C7"/>
    <mergeCell ref="C46:E46"/>
    <mergeCell ref="G43:I43"/>
    <mergeCell ref="F51:H51"/>
    <mergeCell ref="F52:H52"/>
    <mergeCell ref="C49:D49"/>
    <mergeCell ref="C47:E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September "&amp;gewJahr</f>
        <v>Arbeitszeitachweis September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7.25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3.2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DATE(gewJahr,9,1)</f>
        <v>44075</v>
      </c>
      <c r="C8" s="199">
        <f aca="true" t="shared" si="0" ref="C8:C37">WEEKDAY(B8)</f>
        <v>3</v>
      </c>
      <c r="D8" s="200">
        <v>0</v>
      </c>
      <c r="E8" s="200">
        <v>0</v>
      </c>
      <c r="F8" s="268">
        <f aca="true" t="shared" si="1" ref="F8:F37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7">B8+1</f>
        <v>44076</v>
      </c>
      <c r="C9" s="199">
        <f t="shared" si="0"/>
        <v>4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2"/>
        <v>44077</v>
      </c>
      <c r="C10" s="199">
        <f t="shared" si="0"/>
        <v>5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2"/>
        <v>44078</v>
      </c>
      <c r="C11" s="199">
        <f t="shared" si="0"/>
        <v>6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2"/>
        <v>44079</v>
      </c>
      <c r="C12" s="199">
        <f t="shared" si="0"/>
        <v>7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2"/>
        <v>44080</v>
      </c>
      <c r="C13" s="199">
        <f t="shared" si="0"/>
        <v>1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2"/>
        <v>44081</v>
      </c>
      <c r="C14" s="199">
        <f t="shared" si="0"/>
        <v>2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2"/>
        <v>44082</v>
      </c>
      <c r="C15" s="199">
        <f t="shared" si="0"/>
        <v>3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2"/>
        <v>44083</v>
      </c>
      <c r="C16" s="199">
        <f t="shared" si="0"/>
        <v>4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2"/>
        <v>44084</v>
      </c>
      <c r="C17" s="199">
        <f t="shared" si="0"/>
        <v>5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2"/>
        <v>44085</v>
      </c>
      <c r="C18" s="199">
        <f t="shared" si="0"/>
        <v>6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2"/>
        <v>44086</v>
      </c>
      <c r="C19" s="199">
        <f t="shared" si="0"/>
        <v>7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2"/>
        <v>44087</v>
      </c>
      <c r="C20" s="199">
        <f t="shared" si="0"/>
        <v>1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2"/>
        <v>44088</v>
      </c>
      <c r="C21" s="199">
        <f t="shared" si="0"/>
        <v>2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>B21+1</f>
        <v>44089</v>
      </c>
      <c r="C22" s="199">
        <f t="shared" si="0"/>
        <v>3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2"/>
        <v>44090</v>
      </c>
      <c r="C23" s="199">
        <f t="shared" si="0"/>
        <v>4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2"/>
        <v>44091</v>
      </c>
      <c r="C24" s="199">
        <f t="shared" si="0"/>
        <v>5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2"/>
        <v>44092</v>
      </c>
      <c r="C25" s="199">
        <f t="shared" si="0"/>
        <v>6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2"/>
        <v>44093</v>
      </c>
      <c r="C26" s="199">
        <f t="shared" si="0"/>
        <v>7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2"/>
        <v>44094</v>
      </c>
      <c r="C27" s="199">
        <f t="shared" si="0"/>
        <v>1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2"/>
        <v>44095</v>
      </c>
      <c r="C28" s="199">
        <f t="shared" si="0"/>
        <v>2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2"/>
        <v>44096</v>
      </c>
      <c r="C29" s="199">
        <f t="shared" si="0"/>
        <v>3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2"/>
        <v>44097</v>
      </c>
      <c r="C30" s="199">
        <f t="shared" si="0"/>
        <v>4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2"/>
        <v>44098</v>
      </c>
      <c r="C31" s="199">
        <f t="shared" si="0"/>
        <v>5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2"/>
        <v>44099</v>
      </c>
      <c r="C32" s="199">
        <f t="shared" si="0"/>
        <v>6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2"/>
        <v>44100</v>
      </c>
      <c r="C33" s="199">
        <f t="shared" si="0"/>
        <v>7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2"/>
        <v>44101</v>
      </c>
      <c r="C34" s="199">
        <f t="shared" si="0"/>
        <v>1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2"/>
        <v>44102</v>
      </c>
      <c r="C35" s="199">
        <f t="shared" si="0"/>
        <v>2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2"/>
        <v>44103</v>
      </c>
      <c r="C36" s="199">
        <f t="shared" si="0"/>
        <v>3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2"/>
        <v>44104</v>
      </c>
      <c r="C37" s="199">
        <f t="shared" si="0"/>
        <v>4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/>
      <c r="C38" s="199"/>
      <c r="D38" s="200">
        <v>0</v>
      </c>
      <c r="E38" s="200">
        <v>0</v>
      </c>
      <c r="F38" s="201"/>
      <c r="G38" s="200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Aug!J41-J40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B4:C4"/>
    <mergeCell ref="J2:J6"/>
    <mergeCell ref="G41:I41"/>
    <mergeCell ref="C40:E40"/>
    <mergeCell ref="G40:I40"/>
    <mergeCell ref="C41:E41"/>
    <mergeCell ref="G42:I42"/>
    <mergeCell ref="C42:E42"/>
    <mergeCell ref="C43:E43"/>
    <mergeCell ref="C44:E44"/>
    <mergeCell ref="C45:E45"/>
    <mergeCell ref="B7:C7"/>
    <mergeCell ref="C46:E46"/>
    <mergeCell ref="G43:I43"/>
    <mergeCell ref="F51:H51"/>
    <mergeCell ref="F52:H52"/>
    <mergeCell ref="C49:D49"/>
    <mergeCell ref="C47:E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Oktober "&amp;gewJahr</f>
        <v>Arbeitszeitachweis Oktober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4.2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8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4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DATE(gewJahr,10,1)</f>
        <v>44105</v>
      </c>
      <c r="C8" s="199">
        <f aca="true" t="shared" si="0" ref="C8:C38">WEEKDAY(B8)</f>
        <v>5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8">B8+1</f>
        <v>44106</v>
      </c>
      <c r="C9" s="199">
        <f t="shared" si="0"/>
        <v>6</v>
      </c>
      <c r="D9" s="200">
        <v>0</v>
      </c>
      <c r="E9" s="200">
        <v>0</v>
      </c>
      <c r="F9" s="268">
        <f t="shared" si="1"/>
        <v>0</v>
      </c>
      <c r="G9" s="200"/>
      <c r="H9" s="269">
        <f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226">
        <f t="shared" si="2"/>
        <v>44107</v>
      </c>
      <c r="C10" s="220">
        <f t="shared" si="0"/>
        <v>7</v>
      </c>
      <c r="D10" s="221">
        <v>0</v>
      </c>
      <c r="E10" s="221">
        <v>0</v>
      </c>
      <c r="F10" s="267">
        <f t="shared" si="1"/>
        <v>0</v>
      </c>
      <c r="G10" s="221"/>
      <c r="H10" s="273">
        <f>F10-I10</f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2"/>
        <v>44108</v>
      </c>
      <c r="C11" s="199">
        <f t="shared" si="0"/>
        <v>1</v>
      </c>
      <c r="D11" s="200">
        <v>0</v>
      </c>
      <c r="E11" s="200">
        <v>0</v>
      </c>
      <c r="F11" s="268">
        <f t="shared" si="1"/>
        <v>0</v>
      </c>
      <c r="G11" s="200"/>
      <c r="H11" s="269">
        <f aca="true" t="shared" si="3" ref="H11:H38">IF(F11-I11&gt;0,F11-I11,0)</f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2"/>
        <v>44109</v>
      </c>
      <c r="C12" s="199">
        <f t="shared" si="0"/>
        <v>2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2"/>
        <v>44110</v>
      </c>
      <c r="C13" s="199">
        <f t="shared" si="0"/>
        <v>3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2"/>
        <v>44111</v>
      </c>
      <c r="C14" s="199">
        <f t="shared" si="0"/>
        <v>4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2"/>
        <v>44112</v>
      </c>
      <c r="C15" s="199">
        <f t="shared" si="0"/>
        <v>5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2"/>
        <v>44113</v>
      </c>
      <c r="C16" s="199">
        <f t="shared" si="0"/>
        <v>6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2"/>
        <v>44114</v>
      </c>
      <c r="C17" s="199">
        <f t="shared" si="0"/>
        <v>7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2"/>
        <v>44115</v>
      </c>
      <c r="C18" s="199">
        <f t="shared" si="0"/>
        <v>1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2"/>
        <v>44116</v>
      </c>
      <c r="C19" s="199">
        <f t="shared" si="0"/>
        <v>2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2"/>
        <v>44117</v>
      </c>
      <c r="C20" s="199">
        <f t="shared" si="0"/>
        <v>3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2"/>
        <v>44118</v>
      </c>
      <c r="C21" s="199">
        <f t="shared" si="0"/>
        <v>4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2"/>
        <v>44119</v>
      </c>
      <c r="C22" s="199">
        <f t="shared" si="0"/>
        <v>5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2"/>
        <v>44120</v>
      </c>
      <c r="C23" s="199">
        <f t="shared" si="0"/>
        <v>6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2"/>
        <v>44121</v>
      </c>
      <c r="C24" s="199">
        <f t="shared" si="0"/>
        <v>7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2"/>
        <v>44122</v>
      </c>
      <c r="C25" s="199">
        <f t="shared" si="0"/>
        <v>1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2"/>
        <v>44123</v>
      </c>
      <c r="C26" s="199">
        <f t="shared" si="0"/>
        <v>2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2"/>
        <v>44124</v>
      </c>
      <c r="C27" s="199">
        <f t="shared" si="0"/>
        <v>3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2"/>
        <v>44125</v>
      </c>
      <c r="C28" s="199">
        <f t="shared" si="0"/>
        <v>4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2"/>
        <v>44126</v>
      </c>
      <c r="C29" s="199">
        <f t="shared" si="0"/>
        <v>5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2"/>
        <v>44127</v>
      </c>
      <c r="C30" s="199">
        <f t="shared" si="0"/>
        <v>6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2"/>
        <v>44128</v>
      </c>
      <c r="C31" s="199">
        <f t="shared" si="0"/>
        <v>7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2"/>
        <v>44129</v>
      </c>
      <c r="C32" s="199">
        <f t="shared" si="0"/>
        <v>1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2"/>
        <v>44130</v>
      </c>
      <c r="C33" s="199">
        <f t="shared" si="0"/>
        <v>2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2"/>
        <v>44131</v>
      </c>
      <c r="C34" s="199">
        <f t="shared" si="0"/>
        <v>3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2"/>
        <v>44132</v>
      </c>
      <c r="C35" s="199">
        <f t="shared" si="0"/>
        <v>4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2"/>
        <v>44133</v>
      </c>
      <c r="C36" s="199">
        <f t="shared" si="0"/>
        <v>5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2"/>
        <v>44134</v>
      </c>
      <c r="C37" s="199">
        <f t="shared" si="0"/>
        <v>6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9.75">
      <c r="A38" s="207"/>
      <c r="B38" s="198">
        <f t="shared" si="2"/>
        <v>44135</v>
      </c>
      <c r="C38" s="199">
        <f t="shared" si="0"/>
        <v>7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Sep!J41-J40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B4:C4"/>
    <mergeCell ref="J2:J6"/>
    <mergeCell ref="G41:I41"/>
    <mergeCell ref="C40:E40"/>
    <mergeCell ref="G40:I40"/>
    <mergeCell ref="C41:E41"/>
    <mergeCell ref="G42:I42"/>
    <mergeCell ref="C42:E42"/>
    <mergeCell ref="C43:E43"/>
    <mergeCell ref="C44:E44"/>
    <mergeCell ref="C45:E45"/>
    <mergeCell ref="B7:C7"/>
    <mergeCell ref="C46:E46"/>
    <mergeCell ref="G43:I43"/>
    <mergeCell ref="F51:H51"/>
    <mergeCell ref="F52:H52"/>
    <mergeCell ref="C49:D49"/>
    <mergeCell ref="C47:E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November "&amp;gewJahr</f>
        <v>Arbeitszeitachweis November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3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4.7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DATE(gewJahr,11,1)</f>
        <v>44136</v>
      </c>
      <c r="C8" s="199">
        <f>WEEKDAY(B8)</f>
        <v>1</v>
      </c>
      <c r="D8" s="227">
        <v>0</v>
      </c>
      <c r="E8" s="227">
        <v>0</v>
      </c>
      <c r="F8" s="268">
        <f aca="true" t="shared" si="0" ref="F8:F37">MAX(IF(D8&lt;=E8,E8-D8,"24:00"-D8+E8)-G8,0)</f>
        <v>0</v>
      </c>
      <c r="G8" s="227"/>
      <c r="H8" s="227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1" ref="B9:B37">B8+1</f>
        <v>44137</v>
      </c>
      <c r="C9" s="199">
        <f aca="true" t="shared" si="2" ref="C9:C37">WEEKDAY(B9)</f>
        <v>2</v>
      </c>
      <c r="D9" s="200">
        <v>0</v>
      </c>
      <c r="E9" s="200">
        <v>0</v>
      </c>
      <c r="F9" s="268">
        <f t="shared" si="0"/>
        <v>0</v>
      </c>
      <c r="G9" s="200"/>
      <c r="H9" s="227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1"/>
        <v>44138</v>
      </c>
      <c r="C10" s="199">
        <f t="shared" si="2"/>
        <v>3</v>
      </c>
      <c r="D10" s="200">
        <v>0</v>
      </c>
      <c r="E10" s="200">
        <v>0</v>
      </c>
      <c r="F10" s="268">
        <f t="shared" si="0"/>
        <v>0</v>
      </c>
      <c r="G10" s="200"/>
      <c r="H10" s="227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1"/>
        <v>44139</v>
      </c>
      <c r="C11" s="199">
        <f t="shared" si="2"/>
        <v>4</v>
      </c>
      <c r="D11" s="200">
        <v>0</v>
      </c>
      <c r="E11" s="200">
        <v>0</v>
      </c>
      <c r="F11" s="268">
        <f t="shared" si="0"/>
        <v>0</v>
      </c>
      <c r="G11" s="200"/>
      <c r="H11" s="227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1"/>
        <v>44140</v>
      </c>
      <c r="C12" s="199">
        <f t="shared" si="2"/>
        <v>5</v>
      </c>
      <c r="D12" s="200">
        <v>0</v>
      </c>
      <c r="E12" s="200">
        <v>0</v>
      </c>
      <c r="F12" s="268">
        <f t="shared" si="0"/>
        <v>0</v>
      </c>
      <c r="G12" s="200"/>
      <c r="H12" s="227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1"/>
        <v>44141</v>
      </c>
      <c r="C13" s="199">
        <f t="shared" si="2"/>
        <v>6</v>
      </c>
      <c r="D13" s="200">
        <v>0</v>
      </c>
      <c r="E13" s="200">
        <v>0</v>
      </c>
      <c r="F13" s="268">
        <f t="shared" si="0"/>
        <v>0</v>
      </c>
      <c r="G13" s="200"/>
      <c r="H13" s="227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1"/>
        <v>44142</v>
      </c>
      <c r="C14" s="199">
        <f t="shared" si="2"/>
        <v>7</v>
      </c>
      <c r="D14" s="200">
        <v>0</v>
      </c>
      <c r="E14" s="200">
        <v>0</v>
      </c>
      <c r="F14" s="268">
        <f t="shared" si="0"/>
        <v>0</v>
      </c>
      <c r="G14" s="200"/>
      <c r="H14" s="227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1"/>
        <v>44143</v>
      </c>
      <c r="C15" s="199">
        <f t="shared" si="2"/>
        <v>1</v>
      </c>
      <c r="D15" s="200">
        <v>0</v>
      </c>
      <c r="E15" s="200">
        <v>0</v>
      </c>
      <c r="F15" s="268">
        <f t="shared" si="0"/>
        <v>0</v>
      </c>
      <c r="G15" s="200"/>
      <c r="H15" s="227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1"/>
        <v>44144</v>
      </c>
      <c r="C16" s="199">
        <f t="shared" si="2"/>
        <v>2</v>
      </c>
      <c r="D16" s="200">
        <v>0</v>
      </c>
      <c r="E16" s="200">
        <v>0</v>
      </c>
      <c r="F16" s="268">
        <f t="shared" si="0"/>
        <v>0</v>
      </c>
      <c r="G16" s="200"/>
      <c r="H16" s="227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1"/>
        <v>44145</v>
      </c>
      <c r="C17" s="199">
        <f t="shared" si="2"/>
        <v>3</v>
      </c>
      <c r="D17" s="200">
        <v>0</v>
      </c>
      <c r="E17" s="200">
        <v>0</v>
      </c>
      <c r="F17" s="268">
        <f t="shared" si="0"/>
        <v>0</v>
      </c>
      <c r="G17" s="200"/>
      <c r="H17" s="227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1"/>
        <v>44146</v>
      </c>
      <c r="C18" s="199">
        <f t="shared" si="2"/>
        <v>4</v>
      </c>
      <c r="D18" s="200">
        <v>0</v>
      </c>
      <c r="E18" s="200">
        <v>0</v>
      </c>
      <c r="F18" s="268">
        <f t="shared" si="0"/>
        <v>0</v>
      </c>
      <c r="G18" s="200"/>
      <c r="H18" s="227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1"/>
        <v>44147</v>
      </c>
      <c r="C19" s="199">
        <f t="shared" si="2"/>
        <v>5</v>
      </c>
      <c r="D19" s="200">
        <v>0</v>
      </c>
      <c r="E19" s="200">
        <v>0</v>
      </c>
      <c r="F19" s="268">
        <f t="shared" si="0"/>
        <v>0</v>
      </c>
      <c r="G19" s="200"/>
      <c r="H19" s="227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1"/>
        <v>44148</v>
      </c>
      <c r="C20" s="199">
        <f t="shared" si="2"/>
        <v>6</v>
      </c>
      <c r="D20" s="200">
        <v>0</v>
      </c>
      <c r="E20" s="200">
        <v>0</v>
      </c>
      <c r="F20" s="268">
        <f t="shared" si="0"/>
        <v>0</v>
      </c>
      <c r="G20" s="200"/>
      <c r="H20" s="227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1"/>
        <v>44149</v>
      </c>
      <c r="C21" s="199">
        <f t="shared" si="2"/>
        <v>7</v>
      </c>
      <c r="D21" s="200">
        <v>0</v>
      </c>
      <c r="E21" s="200">
        <v>0</v>
      </c>
      <c r="F21" s="268">
        <f t="shared" si="0"/>
        <v>0</v>
      </c>
      <c r="G21" s="200"/>
      <c r="H21" s="227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1"/>
        <v>44150</v>
      </c>
      <c r="C22" s="199">
        <f t="shared" si="2"/>
        <v>1</v>
      </c>
      <c r="D22" s="200">
        <v>0</v>
      </c>
      <c r="E22" s="200">
        <v>0</v>
      </c>
      <c r="F22" s="268">
        <f t="shared" si="0"/>
        <v>0</v>
      </c>
      <c r="G22" s="200"/>
      <c r="H22" s="227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1"/>
        <v>44151</v>
      </c>
      <c r="C23" s="199">
        <f t="shared" si="2"/>
        <v>2</v>
      </c>
      <c r="D23" s="200">
        <v>0</v>
      </c>
      <c r="E23" s="200">
        <v>0</v>
      </c>
      <c r="F23" s="268">
        <f t="shared" si="0"/>
        <v>0</v>
      </c>
      <c r="G23" s="200"/>
      <c r="H23" s="227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1"/>
        <v>44152</v>
      </c>
      <c r="C24" s="199">
        <f t="shared" si="2"/>
        <v>3</v>
      </c>
      <c r="D24" s="200">
        <v>0</v>
      </c>
      <c r="E24" s="200">
        <v>0</v>
      </c>
      <c r="F24" s="268">
        <f t="shared" si="0"/>
        <v>0</v>
      </c>
      <c r="G24" s="200"/>
      <c r="H24" s="227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1"/>
        <v>44153</v>
      </c>
      <c r="C25" s="199">
        <f t="shared" si="2"/>
        <v>4</v>
      </c>
      <c r="D25" s="200">
        <v>0</v>
      </c>
      <c r="E25" s="200">
        <v>0</v>
      </c>
      <c r="F25" s="268">
        <f t="shared" si="0"/>
        <v>0</v>
      </c>
      <c r="G25" s="200"/>
      <c r="H25" s="227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1"/>
        <v>44154</v>
      </c>
      <c r="C26" s="199">
        <f t="shared" si="2"/>
        <v>5</v>
      </c>
      <c r="D26" s="200">
        <v>0</v>
      </c>
      <c r="E26" s="200">
        <v>0</v>
      </c>
      <c r="F26" s="268">
        <f t="shared" si="0"/>
        <v>0</v>
      </c>
      <c r="G26" s="200"/>
      <c r="H26" s="227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1"/>
        <v>44155</v>
      </c>
      <c r="C27" s="199">
        <f t="shared" si="2"/>
        <v>6</v>
      </c>
      <c r="D27" s="200">
        <v>0</v>
      </c>
      <c r="E27" s="200">
        <v>0</v>
      </c>
      <c r="F27" s="268">
        <f t="shared" si="0"/>
        <v>0</v>
      </c>
      <c r="G27" s="200"/>
      <c r="H27" s="227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1"/>
        <v>44156</v>
      </c>
      <c r="C28" s="199">
        <f t="shared" si="2"/>
        <v>7</v>
      </c>
      <c r="D28" s="200">
        <v>0</v>
      </c>
      <c r="E28" s="200">
        <v>0</v>
      </c>
      <c r="F28" s="268">
        <f t="shared" si="0"/>
        <v>0</v>
      </c>
      <c r="G28" s="200"/>
      <c r="H28" s="227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1"/>
        <v>44157</v>
      </c>
      <c r="C29" s="199">
        <f t="shared" si="2"/>
        <v>1</v>
      </c>
      <c r="D29" s="200">
        <v>0</v>
      </c>
      <c r="E29" s="200">
        <v>0</v>
      </c>
      <c r="F29" s="268">
        <f t="shared" si="0"/>
        <v>0</v>
      </c>
      <c r="G29" s="200"/>
      <c r="H29" s="227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1"/>
        <v>44158</v>
      </c>
      <c r="C30" s="199">
        <f t="shared" si="2"/>
        <v>2</v>
      </c>
      <c r="D30" s="200">
        <v>0</v>
      </c>
      <c r="E30" s="200">
        <v>0</v>
      </c>
      <c r="F30" s="268">
        <f t="shared" si="0"/>
        <v>0</v>
      </c>
      <c r="G30" s="200"/>
      <c r="H30" s="227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1"/>
        <v>44159</v>
      </c>
      <c r="C31" s="199">
        <f t="shared" si="2"/>
        <v>3</v>
      </c>
      <c r="D31" s="200">
        <v>0</v>
      </c>
      <c r="E31" s="200">
        <v>0</v>
      </c>
      <c r="F31" s="268">
        <f t="shared" si="0"/>
        <v>0</v>
      </c>
      <c r="G31" s="200"/>
      <c r="H31" s="227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1"/>
        <v>44160</v>
      </c>
      <c r="C32" s="199">
        <f t="shared" si="2"/>
        <v>4</v>
      </c>
      <c r="D32" s="200">
        <v>0</v>
      </c>
      <c r="E32" s="200">
        <v>0</v>
      </c>
      <c r="F32" s="268">
        <f t="shared" si="0"/>
        <v>0</v>
      </c>
      <c r="G32" s="200"/>
      <c r="H32" s="227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1"/>
        <v>44161</v>
      </c>
      <c r="C33" s="199">
        <f t="shared" si="2"/>
        <v>5</v>
      </c>
      <c r="D33" s="200">
        <v>0</v>
      </c>
      <c r="E33" s="200">
        <v>0</v>
      </c>
      <c r="F33" s="268">
        <f t="shared" si="0"/>
        <v>0</v>
      </c>
      <c r="G33" s="200"/>
      <c r="H33" s="227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1"/>
        <v>44162</v>
      </c>
      <c r="C34" s="199">
        <f t="shared" si="2"/>
        <v>6</v>
      </c>
      <c r="D34" s="200">
        <v>0</v>
      </c>
      <c r="E34" s="200">
        <v>0</v>
      </c>
      <c r="F34" s="268">
        <f t="shared" si="0"/>
        <v>0</v>
      </c>
      <c r="G34" s="200"/>
      <c r="H34" s="227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1"/>
        <v>44163</v>
      </c>
      <c r="C35" s="199">
        <f t="shared" si="2"/>
        <v>7</v>
      </c>
      <c r="D35" s="200">
        <v>0</v>
      </c>
      <c r="E35" s="200">
        <v>0</v>
      </c>
      <c r="F35" s="268">
        <f t="shared" si="0"/>
        <v>0</v>
      </c>
      <c r="G35" s="200"/>
      <c r="H35" s="227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1"/>
        <v>44164</v>
      </c>
      <c r="C36" s="199">
        <f t="shared" si="2"/>
        <v>1</v>
      </c>
      <c r="D36" s="200">
        <v>0</v>
      </c>
      <c r="E36" s="200">
        <v>0</v>
      </c>
      <c r="F36" s="268">
        <f t="shared" si="0"/>
        <v>0</v>
      </c>
      <c r="G36" s="200"/>
      <c r="H36" s="227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1"/>
        <v>44165</v>
      </c>
      <c r="C37" s="199">
        <f t="shared" si="2"/>
        <v>2</v>
      </c>
      <c r="D37" s="200">
        <v>0</v>
      </c>
      <c r="E37" s="200">
        <v>0</v>
      </c>
      <c r="F37" s="268">
        <f t="shared" si="0"/>
        <v>0</v>
      </c>
      <c r="G37" s="200"/>
      <c r="H37" s="227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/>
      <c r="C38" s="199"/>
      <c r="D38" s="200"/>
      <c r="E38" s="200"/>
      <c r="F38" s="201"/>
      <c r="G38" s="200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Okt!J41-J40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B4:C4"/>
    <mergeCell ref="J2:J6"/>
    <mergeCell ref="G41:I41"/>
    <mergeCell ref="C40:E40"/>
    <mergeCell ref="G40:I40"/>
    <mergeCell ref="C41:E41"/>
    <mergeCell ref="G42:I42"/>
    <mergeCell ref="C42:E42"/>
    <mergeCell ref="C43:E43"/>
    <mergeCell ref="C44:E44"/>
    <mergeCell ref="C45:E45"/>
    <mergeCell ref="B7:C7"/>
    <mergeCell ref="C46:E46"/>
    <mergeCell ref="G43:I43"/>
    <mergeCell ref="F51:H51"/>
    <mergeCell ref="F52:H52"/>
    <mergeCell ref="C49:D49"/>
    <mergeCell ref="C47:E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60"/>
  <sheetViews>
    <sheetView defaultGridColor="0" zoomScalePageLayoutView="0" colorId="22" workbookViewId="0" topLeftCell="A1">
      <selection activeCell="I45" sqref="I45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Dezember "&amp;gewJahr</f>
        <v>Arbeitszeitachweis Dezember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4"/>
      <c r="C4" s="674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7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DATE(gewJahr,12,1)</f>
        <v>44166</v>
      </c>
      <c r="C8" s="199">
        <f aca="true" t="shared" si="0" ref="C8:C38">WEEKDAY(B8)</f>
        <v>3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 aca="true" t="shared" si="2" ref="H8:H38">F8-I8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3" ref="B9:B38">B8+1</f>
        <v>44167</v>
      </c>
      <c r="C9" s="199">
        <f t="shared" si="0"/>
        <v>4</v>
      </c>
      <c r="D9" s="200">
        <v>0</v>
      </c>
      <c r="E9" s="200">
        <v>0</v>
      </c>
      <c r="F9" s="268">
        <f t="shared" si="1"/>
        <v>0</v>
      </c>
      <c r="G9" s="200"/>
      <c r="H9" s="269">
        <f t="shared" si="2"/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3"/>
        <v>44168</v>
      </c>
      <c r="C10" s="199">
        <f t="shared" si="0"/>
        <v>5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3"/>
        <v>44169</v>
      </c>
      <c r="C11" s="199">
        <f t="shared" si="0"/>
        <v>6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3"/>
        <v>44170</v>
      </c>
      <c r="C12" s="199">
        <f t="shared" si="0"/>
        <v>7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3"/>
        <v>44171</v>
      </c>
      <c r="C13" s="199">
        <f t="shared" si="0"/>
        <v>1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3"/>
        <v>44172</v>
      </c>
      <c r="C14" s="199">
        <f t="shared" si="0"/>
        <v>2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3"/>
        <v>44173</v>
      </c>
      <c r="C15" s="199">
        <f t="shared" si="0"/>
        <v>3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3"/>
        <v>44174</v>
      </c>
      <c r="C16" s="199">
        <f t="shared" si="0"/>
        <v>4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3"/>
        <v>44175</v>
      </c>
      <c r="C17" s="199">
        <f t="shared" si="0"/>
        <v>5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3"/>
        <v>44176</v>
      </c>
      <c r="C18" s="199">
        <f t="shared" si="0"/>
        <v>6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3"/>
        <v>44177</v>
      </c>
      <c r="C19" s="199">
        <f t="shared" si="0"/>
        <v>7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3"/>
        <v>44178</v>
      </c>
      <c r="C20" s="199">
        <f t="shared" si="0"/>
        <v>1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3"/>
        <v>44179</v>
      </c>
      <c r="C21" s="199">
        <f t="shared" si="0"/>
        <v>2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3"/>
        <v>44180</v>
      </c>
      <c r="C22" s="199">
        <f t="shared" si="0"/>
        <v>3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3"/>
        <v>44181</v>
      </c>
      <c r="C23" s="199">
        <f t="shared" si="0"/>
        <v>4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3"/>
        <v>44182</v>
      </c>
      <c r="C24" s="199">
        <f t="shared" si="0"/>
        <v>5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3"/>
        <v>44183</v>
      </c>
      <c r="C25" s="199">
        <f t="shared" si="0"/>
        <v>6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3"/>
        <v>44184</v>
      </c>
      <c r="C26" s="199">
        <f t="shared" si="0"/>
        <v>7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3"/>
        <v>44185</v>
      </c>
      <c r="C27" s="199">
        <f t="shared" si="0"/>
        <v>1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3"/>
        <v>44186</v>
      </c>
      <c r="C28" s="199">
        <f t="shared" si="0"/>
        <v>2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3"/>
        <v>44187</v>
      </c>
      <c r="C29" s="199">
        <f t="shared" si="0"/>
        <v>3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2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3"/>
        <v>44188</v>
      </c>
      <c r="C30" s="199">
        <f t="shared" si="0"/>
        <v>4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2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3"/>
        <v>44189</v>
      </c>
      <c r="C31" s="199">
        <f t="shared" si="0"/>
        <v>5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2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226">
        <f t="shared" si="3"/>
        <v>44190</v>
      </c>
      <c r="C32" s="220">
        <f t="shared" si="0"/>
        <v>6</v>
      </c>
      <c r="D32" s="221">
        <v>0</v>
      </c>
      <c r="E32" s="221">
        <v>0</v>
      </c>
      <c r="F32" s="267">
        <f t="shared" si="1"/>
        <v>0</v>
      </c>
      <c r="G32" s="221"/>
      <c r="H32" s="273">
        <f t="shared" si="2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226">
        <f t="shared" si="3"/>
        <v>44191</v>
      </c>
      <c r="C33" s="220">
        <f t="shared" si="0"/>
        <v>7</v>
      </c>
      <c r="D33" s="221">
        <v>0</v>
      </c>
      <c r="E33" s="221">
        <v>0</v>
      </c>
      <c r="F33" s="267">
        <f t="shared" si="1"/>
        <v>0</v>
      </c>
      <c r="G33" s="221"/>
      <c r="H33" s="273">
        <f t="shared" si="2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3"/>
        <v>44192</v>
      </c>
      <c r="C34" s="199">
        <f t="shared" si="0"/>
        <v>1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2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3"/>
        <v>44193</v>
      </c>
      <c r="C35" s="199">
        <f t="shared" si="0"/>
        <v>2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2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3"/>
        <v>44194</v>
      </c>
      <c r="C36" s="199">
        <f t="shared" si="0"/>
        <v>3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2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3"/>
        <v>44195</v>
      </c>
      <c r="C37" s="199">
        <f t="shared" si="0"/>
        <v>4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2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9.75">
      <c r="A38" s="207"/>
      <c r="B38" s="198">
        <f t="shared" si="3"/>
        <v>44196</v>
      </c>
      <c r="C38" s="199">
        <f t="shared" si="0"/>
        <v>5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2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2" customHeight="1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Nov!J41-J40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/>
  </sheetData>
  <sheetProtection/>
  <mergeCells count="18">
    <mergeCell ref="B4:C4"/>
    <mergeCell ref="J2:J6"/>
    <mergeCell ref="G41:I41"/>
    <mergeCell ref="C40:E40"/>
    <mergeCell ref="G40:I40"/>
    <mergeCell ref="C41:E41"/>
    <mergeCell ref="G42:I42"/>
    <mergeCell ref="C42:E42"/>
    <mergeCell ref="C43:E43"/>
    <mergeCell ref="C44:E44"/>
    <mergeCell ref="C45:E45"/>
    <mergeCell ref="B7:C7"/>
    <mergeCell ref="C46:E46"/>
    <mergeCell ref="G43:I43"/>
    <mergeCell ref="F51:H51"/>
    <mergeCell ref="F52:H52"/>
    <mergeCell ref="C49:D49"/>
    <mergeCell ref="C47:E47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zoomScalePageLayoutView="0" workbookViewId="0" topLeftCell="A43">
      <selection activeCell="B58" sqref="B58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2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2.75">
      <c r="A3" s="325"/>
      <c r="B3" s="332" t="s">
        <v>20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2.75">
      <c r="A5" s="325"/>
      <c r="B5" s="326" t="s">
        <v>0</v>
      </c>
      <c r="C5" s="327"/>
      <c r="D5" s="327"/>
      <c r="E5" s="327"/>
      <c r="F5" s="327"/>
      <c r="G5" s="325"/>
      <c r="H5" s="327"/>
      <c r="I5" s="327"/>
      <c r="J5" s="327"/>
      <c r="K5" s="327"/>
      <c r="L5" s="327"/>
      <c r="M5" s="327"/>
    </row>
    <row r="6" spans="1:13" ht="12.75">
      <c r="A6" s="325"/>
      <c r="B6" s="328" t="s">
        <v>1</v>
      </c>
      <c r="C6" s="329"/>
      <c r="D6" s="329"/>
      <c r="E6" s="329"/>
      <c r="F6" s="329"/>
      <c r="G6" s="329"/>
      <c r="H6" s="329"/>
      <c r="I6" s="329"/>
      <c r="J6" s="329"/>
      <c r="K6" s="329"/>
      <c r="L6" s="327"/>
      <c r="M6" s="327"/>
    </row>
    <row r="7" spans="1:13" ht="12.75">
      <c r="A7" s="325"/>
      <c r="B7" s="329" t="s">
        <v>2</v>
      </c>
      <c r="C7" s="329"/>
      <c r="D7" s="329"/>
      <c r="E7" s="329"/>
      <c r="F7" s="329"/>
      <c r="G7" s="329"/>
      <c r="H7" s="329"/>
      <c r="I7" s="329"/>
      <c r="J7" s="329"/>
      <c r="K7" s="329"/>
      <c r="L7" s="327"/>
      <c r="M7" s="327"/>
    </row>
    <row r="8" spans="1:13" ht="12.75">
      <c r="A8" s="325"/>
      <c r="B8" s="329" t="s">
        <v>3</v>
      </c>
      <c r="C8" s="329"/>
      <c r="D8" s="329"/>
      <c r="E8" s="329"/>
      <c r="F8" s="329"/>
      <c r="G8" s="329"/>
      <c r="H8" s="329"/>
      <c r="I8" s="329"/>
      <c r="J8" s="329"/>
      <c r="K8" s="329"/>
      <c r="L8" s="327"/>
      <c r="M8" s="327"/>
    </row>
    <row r="9" spans="1:13" ht="12.75">
      <c r="A9" s="325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7"/>
      <c r="M9" s="327"/>
    </row>
    <row r="10" spans="1:13" ht="12.75">
      <c r="A10" s="325"/>
      <c r="B10" s="330" t="s">
        <v>4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7"/>
      <c r="M10" s="327"/>
    </row>
    <row r="11" spans="1:13" ht="12.75">
      <c r="A11" s="325"/>
      <c r="B11" s="462" t="s">
        <v>313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7"/>
      <c r="M11" s="327"/>
    </row>
    <row r="12" spans="1:13" ht="12.75">
      <c r="A12" s="325"/>
      <c r="B12" s="328" t="s">
        <v>263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7"/>
      <c r="M12" s="327"/>
    </row>
    <row r="13" spans="1:13" ht="12.75">
      <c r="A13" s="325"/>
      <c r="B13" s="330" t="s">
        <v>306</v>
      </c>
      <c r="C13" s="330"/>
      <c r="D13" s="330"/>
      <c r="E13" s="330"/>
      <c r="F13" s="329"/>
      <c r="G13" s="329"/>
      <c r="H13" s="329"/>
      <c r="I13" s="329"/>
      <c r="J13" s="329"/>
      <c r="K13" s="329"/>
      <c r="L13" s="327"/>
      <c r="M13" s="327"/>
    </row>
    <row r="14" spans="1:13" ht="12.75">
      <c r="A14" s="325"/>
      <c r="B14" s="331" t="s">
        <v>16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7"/>
      <c r="M14" s="327"/>
    </row>
    <row r="15" spans="1:13" ht="12.75">
      <c r="A15" s="325"/>
      <c r="B15" s="328" t="s">
        <v>305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7"/>
      <c r="M15" s="327"/>
    </row>
    <row r="16" spans="1:13" ht="12.75">
      <c r="A16" s="325"/>
      <c r="B16" s="328" t="s">
        <v>255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7"/>
      <c r="M16" s="327"/>
    </row>
    <row r="17" spans="1:13" ht="12.75">
      <c r="A17" s="325"/>
      <c r="B17" s="331" t="s">
        <v>17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7"/>
      <c r="M17" s="327"/>
    </row>
    <row r="18" spans="1:13" ht="12.75">
      <c r="A18" s="325"/>
      <c r="B18" s="328" t="s">
        <v>264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7"/>
      <c r="M18" s="327"/>
    </row>
    <row r="19" spans="1:13" ht="12.75">
      <c r="A19" s="325"/>
      <c r="B19" s="329" t="s">
        <v>220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7"/>
      <c r="M19" s="327"/>
    </row>
    <row r="20" spans="1:13" ht="12.75">
      <c r="A20" s="325"/>
      <c r="B20" s="328" t="s">
        <v>296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7"/>
      <c r="M20" s="327"/>
    </row>
    <row r="21" spans="1:13" ht="12.75">
      <c r="A21" s="325"/>
      <c r="B21" s="328" t="s">
        <v>295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7"/>
      <c r="M21" s="327"/>
    </row>
    <row r="22" spans="1:13" ht="12.75">
      <c r="A22" s="325"/>
      <c r="B22" s="331" t="s">
        <v>21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7"/>
      <c r="M22" s="327"/>
    </row>
    <row r="23" spans="1:13" ht="12.75">
      <c r="A23" s="325"/>
      <c r="B23" s="329" t="s">
        <v>221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7"/>
      <c r="M23" s="327"/>
    </row>
    <row r="24" spans="1:13" ht="12.75">
      <c r="A24" s="325"/>
      <c r="B24" s="331" t="s">
        <v>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7"/>
      <c r="M24" s="327"/>
    </row>
    <row r="25" spans="1:13" ht="12.75">
      <c r="A25" s="325"/>
      <c r="B25" s="329" t="s">
        <v>222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7"/>
      <c r="M25" s="327"/>
    </row>
    <row r="26" spans="1:13" ht="12.75">
      <c r="A26" s="325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7"/>
      <c r="M26" s="327"/>
    </row>
    <row r="27" spans="1:13" ht="12.75">
      <c r="A27" s="325"/>
      <c r="B27" s="330" t="s">
        <v>6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7"/>
      <c r="M27" s="327"/>
    </row>
    <row r="28" spans="1:13" ht="12.75">
      <c r="A28" s="325"/>
      <c r="B28" s="331" t="s">
        <v>7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7"/>
      <c r="M28" s="327"/>
    </row>
    <row r="29" spans="1:13" ht="12.75">
      <c r="A29" s="325"/>
      <c r="B29" s="329" t="s">
        <v>239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7"/>
      <c r="M29" s="327"/>
    </row>
    <row r="30" spans="1:13" ht="12.75">
      <c r="A30" s="325"/>
      <c r="B30" s="330"/>
      <c r="C30" s="329"/>
      <c r="D30" s="329"/>
      <c r="E30" s="329"/>
      <c r="F30" s="329"/>
      <c r="G30" s="329"/>
      <c r="H30" s="329"/>
      <c r="I30" s="329"/>
      <c r="J30" s="329"/>
      <c r="K30" s="329"/>
      <c r="L30" s="327"/>
      <c r="M30" s="327"/>
    </row>
    <row r="31" spans="1:13" ht="12.75">
      <c r="A31" s="325"/>
      <c r="B31" s="330" t="s">
        <v>8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7"/>
      <c r="M31" s="327"/>
    </row>
    <row r="32" spans="1:13" ht="12.75">
      <c r="A32" s="325"/>
      <c r="B32" s="331" t="s">
        <v>18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7"/>
      <c r="M32" s="327"/>
    </row>
    <row r="33" spans="1:13" ht="12.75">
      <c r="A33" s="325"/>
      <c r="B33" s="329" t="s">
        <v>223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7"/>
      <c r="M33" s="327"/>
    </row>
    <row r="34" spans="1:13" ht="12.75">
      <c r="A34" s="325"/>
      <c r="B34" s="329" t="s">
        <v>224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5"/>
      <c r="M34" s="325"/>
    </row>
    <row r="35" spans="1:13" ht="12.75">
      <c r="A35" s="325"/>
      <c r="B35" s="462" t="s">
        <v>265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5"/>
      <c r="M35" s="325"/>
    </row>
    <row r="36" spans="1:13" ht="12.75">
      <c r="A36" s="325"/>
      <c r="B36" s="328" t="s">
        <v>266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5"/>
      <c r="M36" s="325"/>
    </row>
    <row r="37" spans="1:13" ht="12.75">
      <c r="A37" s="325"/>
      <c r="B37" s="328" t="s">
        <v>267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1"/>
      <c r="M37" s="325"/>
    </row>
    <row r="38" spans="1:13" ht="12.75">
      <c r="A38" s="325"/>
      <c r="B38" s="328" t="s">
        <v>268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1"/>
      <c r="M38" s="325"/>
    </row>
    <row r="39" spans="1:13" ht="12.75">
      <c r="A39" s="325"/>
      <c r="B39" s="349" t="s">
        <v>256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1"/>
      <c r="M39" s="325"/>
    </row>
    <row r="40" spans="1:13" ht="12.75">
      <c r="A40" s="325"/>
      <c r="B40" s="350" t="s">
        <v>225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5"/>
      <c r="M40" s="325"/>
    </row>
    <row r="41" spans="1:13" ht="12.75">
      <c r="A41" s="325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5"/>
      <c r="M41" s="325"/>
    </row>
    <row r="42" spans="1:13" ht="12.75">
      <c r="A42" s="325"/>
      <c r="B42" s="330" t="s">
        <v>9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5"/>
      <c r="M42" s="325"/>
    </row>
    <row r="43" spans="1:13" ht="12.75">
      <c r="A43" s="325"/>
      <c r="B43" s="331" t="s">
        <v>10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5"/>
      <c r="M43" s="325"/>
    </row>
    <row r="44" spans="1:13" ht="12.75">
      <c r="A44" s="325"/>
      <c r="B44" s="329" t="s">
        <v>226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5"/>
      <c r="M44" s="325"/>
    </row>
    <row r="45" spans="1:13" ht="12.75">
      <c r="A45" s="325"/>
      <c r="B45" s="328" t="s">
        <v>314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5"/>
      <c r="M45" s="325"/>
    </row>
    <row r="46" spans="1:13" ht="12.75">
      <c r="A46" s="325"/>
      <c r="B46" s="329" t="s">
        <v>227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5"/>
      <c r="M46" s="325"/>
    </row>
    <row r="47" spans="1:13" ht="12.75">
      <c r="A47" s="325"/>
      <c r="B47" s="329" t="s">
        <v>228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5"/>
      <c r="M47" s="325"/>
    </row>
    <row r="48" spans="1:13" ht="12.75">
      <c r="A48" s="325"/>
      <c r="B48" s="329" t="s">
        <v>229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5"/>
      <c r="M48" s="325"/>
    </row>
    <row r="49" spans="1:13" ht="12.75">
      <c r="A49" s="325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5"/>
      <c r="M49" s="325"/>
    </row>
    <row r="50" spans="1:13" ht="12.75">
      <c r="A50" s="325"/>
      <c r="B50" s="330" t="s">
        <v>11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5"/>
      <c r="M50" s="325"/>
    </row>
    <row r="51" spans="1:13" ht="12.75">
      <c r="A51" s="325"/>
      <c r="B51" s="462" t="s">
        <v>269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5"/>
      <c r="M51" s="325"/>
    </row>
    <row r="52" spans="1:13" ht="12.75">
      <c r="A52" s="325"/>
      <c r="B52" s="328" t="s">
        <v>315</v>
      </c>
      <c r="C52" s="329"/>
      <c r="D52" s="329"/>
      <c r="E52" s="329"/>
      <c r="F52" s="329"/>
      <c r="G52" s="329"/>
      <c r="H52" s="329"/>
      <c r="I52" s="329"/>
      <c r="J52" s="329"/>
      <c r="K52" s="329"/>
      <c r="L52" s="325"/>
      <c r="M52" s="325"/>
    </row>
    <row r="53" spans="1:13" ht="12.75">
      <c r="A53" s="325"/>
      <c r="B53" s="328" t="s">
        <v>270</v>
      </c>
      <c r="C53" s="329"/>
      <c r="D53" s="329"/>
      <c r="E53" s="329"/>
      <c r="F53" s="329"/>
      <c r="G53" s="329"/>
      <c r="H53" s="329"/>
      <c r="I53" s="329"/>
      <c r="J53" s="329"/>
      <c r="K53" s="329"/>
      <c r="L53" s="325"/>
      <c r="M53" s="325"/>
    </row>
    <row r="54" spans="1:13" ht="12.75">
      <c r="A54" s="325"/>
      <c r="B54" s="328" t="s">
        <v>271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5"/>
      <c r="M54" s="325"/>
    </row>
    <row r="55" spans="1:13" ht="12.75">
      <c r="A55" s="325"/>
      <c r="B55" s="328" t="s">
        <v>272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5"/>
      <c r="M55" s="325"/>
    </row>
    <row r="56" spans="1:13" ht="12.75">
      <c r="A56" s="325"/>
      <c r="B56" s="328" t="s">
        <v>273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5"/>
      <c r="M56" s="325"/>
    </row>
    <row r="57" spans="1:13" ht="12.75">
      <c r="A57" s="325"/>
      <c r="B57" s="462" t="s">
        <v>316</v>
      </c>
      <c r="C57" s="329"/>
      <c r="D57" s="329"/>
      <c r="E57" s="329"/>
      <c r="F57" s="329"/>
      <c r="G57" s="329"/>
      <c r="H57" s="329"/>
      <c r="I57" s="329"/>
      <c r="J57" s="329"/>
      <c r="K57" s="329"/>
      <c r="L57" s="325"/>
      <c r="M57" s="325"/>
    </row>
    <row r="58" spans="1:13" ht="12.75">
      <c r="A58" s="325"/>
      <c r="B58" s="328" t="s">
        <v>274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5"/>
      <c r="M58" s="325"/>
    </row>
    <row r="59" spans="1:13" ht="12.75">
      <c r="A59" s="32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5"/>
      <c r="M59" s="325"/>
    </row>
    <row r="60" spans="1:13" ht="12.75">
      <c r="A60" s="325"/>
      <c r="B60" s="330" t="s">
        <v>12</v>
      </c>
      <c r="C60" s="329"/>
      <c r="D60" s="329"/>
      <c r="E60" s="329"/>
      <c r="F60" s="329"/>
      <c r="G60" s="329"/>
      <c r="H60" s="329"/>
      <c r="I60" s="329"/>
      <c r="J60" s="329"/>
      <c r="K60" s="329"/>
      <c r="L60" s="325"/>
      <c r="M60" s="325"/>
    </row>
    <row r="61" spans="1:13" ht="12.75">
      <c r="A61" s="325"/>
      <c r="B61" s="331" t="s">
        <v>230</v>
      </c>
      <c r="C61" s="329"/>
      <c r="D61" s="329"/>
      <c r="E61" s="329"/>
      <c r="F61" s="329"/>
      <c r="G61" s="329"/>
      <c r="H61" s="329"/>
      <c r="I61" s="329"/>
      <c r="J61" s="329"/>
      <c r="K61" s="329"/>
      <c r="L61" s="325"/>
      <c r="M61" s="325"/>
    </row>
    <row r="62" spans="1:13" ht="12.75">
      <c r="A62" s="325"/>
      <c r="B62" s="329" t="s">
        <v>231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5"/>
      <c r="M62" s="325"/>
    </row>
    <row r="63" spans="1:13" ht="12.75">
      <c r="A63" s="325"/>
      <c r="B63" s="329" t="s">
        <v>232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5"/>
      <c r="M63" s="325"/>
    </row>
    <row r="64" spans="1:13" ht="12.75">
      <c r="A64" s="325"/>
      <c r="B64" s="329" t="s">
        <v>233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5"/>
      <c r="M64" s="325"/>
    </row>
    <row r="65" spans="1:13" ht="12.75">
      <c r="A65" s="325"/>
      <c r="B65" s="329" t="s">
        <v>234</v>
      </c>
      <c r="C65" s="329"/>
      <c r="D65" s="329"/>
      <c r="E65" s="329"/>
      <c r="F65" s="329"/>
      <c r="G65" s="329"/>
      <c r="H65" s="329"/>
      <c r="I65" s="329"/>
      <c r="J65" s="329"/>
      <c r="K65" s="329"/>
      <c r="L65" s="325"/>
      <c r="M65" s="325"/>
    </row>
    <row r="66" spans="1:13" ht="12.75">
      <c r="A66" s="325"/>
      <c r="B66" s="331" t="s">
        <v>13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5"/>
      <c r="M66" s="325"/>
    </row>
    <row r="67" spans="1:13" ht="12.75">
      <c r="A67" s="325"/>
      <c r="B67" s="328" t="s">
        <v>275</v>
      </c>
      <c r="C67" s="329"/>
      <c r="D67" s="329"/>
      <c r="E67" s="329"/>
      <c r="F67" s="329"/>
      <c r="G67" s="329"/>
      <c r="H67" s="329"/>
      <c r="I67" s="329"/>
      <c r="J67" s="329"/>
      <c r="K67" s="329"/>
      <c r="L67" s="325"/>
      <c r="M67" s="325"/>
    </row>
    <row r="68" spans="1:13" ht="12.75">
      <c r="A68" s="325"/>
      <c r="B68" s="328" t="s">
        <v>276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5"/>
      <c r="M68" s="325"/>
    </row>
    <row r="69" spans="1:13" ht="12.75">
      <c r="A69" s="325"/>
      <c r="B69" s="328" t="s">
        <v>277</v>
      </c>
      <c r="C69" s="329"/>
      <c r="D69" s="329"/>
      <c r="E69" s="329"/>
      <c r="F69" s="329"/>
      <c r="G69" s="329"/>
      <c r="H69" s="329"/>
      <c r="I69" s="329"/>
      <c r="J69" s="329"/>
      <c r="K69" s="329"/>
      <c r="L69" s="325"/>
      <c r="M69" s="325"/>
    </row>
    <row r="70" spans="1:13" ht="12.75">
      <c r="A70" s="325"/>
      <c r="B70" s="331" t="s">
        <v>14</v>
      </c>
      <c r="C70" s="329"/>
      <c r="D70" s="329"/>
      <c r="E70" s="329"/>
      <c r="F70" s="329"/>
      <c r="G70" s="329"/>
      <c r="H70" s="329"/>
      <c r="I70" s="329"/>
      <c r="J70" s="329"/>
      <c r="K70" s="329"/>
      <c r="L70" s="325"/>
      <c r="M70" s="325"/>
    </row>
    <row r="71" spans="1:13" ht="12.75">
      <c r="A71" s="325"/>
      <c r="B71" s="329" t="s">
        <v>235</v>
      </c>
      <c r="C71" s="329"/>
      <c r="D71" s="329"/>
      <c r="E71" s="329"/>
      <c r="F71" s="329"/>
      <c r="G71" s="329"/>
      <c r="H71" s="329"/>
      <c r="I71" s="329"/>
      <c r="J71" s="329"/>
      <c r="K71" s="329"/>
      <c r="L71" s="325"/>
      <c r="M71" s="325"/>
    </row>
    <row r="72" spans="1:13" ht="12.75">
      <c r="A72" s="325"/>
      <c r="B72" s="329" t="s">
        <v>236</v>
      </c>
      <c r="C72" s="329"/>
      <c r="D72" s="329"/>
      <c r="E72" s="329"/>
      <c r="F72" s="329"/>
      <c r="G72" s="329"/>
      <c r="H72" s="329"/>
      <c r="I72" s="329"/>
      <c r="J72" s="329"/>
      <c r="K72" s="329"/>
      <c r="L72" s="325"/>
      <c r="M72" s="325"/>
    </row>
    <row r="73" spans="1:13" ht="7.5" customHeight="1">
      <c r="A73" s="325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5"/>
      <c r="M73" s="325"/>
    </row>
    <row r="74" spans="1:13" ht="12.75">
      <c r="A74" s="325"/>
      <c r="B74" s="462" t="s">
        <v>279</v>
      </c>
      <c r="C74" s="329"/>
      <c r="D74" s="329"/>
      <c r="E74" s="329"/>
      <c r="F74" s="329"/>
      <c r="G74" s="329"/>
      <c r="H74" s="329"/>
      <c r="I74" s="329"/>
      <c r="J74" s="329"/>
      <c r="K74" s="329"/>
      <c r="L74" s="325"/>
      <c r="M74" s="325"/>
    </row>
    <row r="75" spans="1:13" ht="12.75">
      <c r="A75" s="325"/>
      <c r="B75" s="328" t="s">
        <v>278</v>
      </c>
      <c r="C75" s="329"/>
      <c r="D75" s="329"/>
      <c r="E75" s="329"/>
      <c r="F75" s="329"/>
      <c r="G75" s="329"/>
      <c r="H75" s="329"/>
      <c r="I75" s="329"/>
      <c r="J75" s="329"/>
      <c r="K75" s="329"/>
      <c r="L75" s="325"/>
      <c r="M75" s="325"/>
    </row>
    <row r="76" spans="1:13" ht="8.25" customHeight="1">
      <c r="A76" s="325"/>
      <c r="B76" s="328"/>
      <c r="C76" s="329"/>
      <c r="D76" s="329"/>
      <c r="E76" s="329"/>
      <c r="F76" s="329"/>
      <c r="G76" s="329"/>
      <c r="H76" s="329"/>
      <c r="I76" s="329"/>
      <c r="J76" s="329"/>
      <c r="K76" s="329"/>
      <c r="L76" s="325"/>
      <c r="M76" s="325"/>
    </row>
    <row r="77" spans="1:13" ht="12.75">
      <c r="A77" s="325"/>
      <c r="B77" s="331" t="s">
        <v>15</v>
      </c>
      <c r="C77" s="329"/>
      <c r="D77" s="329"/>
      <c r="E77" s="329"/>
      <c r="F77" s="329"/>
      <c r="G77" s="329"/>
      <c r="H77" s="329"/>
      <c r="I77" s="329"/>
      <c r="J77" s="329"/>
      <c r="K77" s="329"/>
      <c r="L77" s="325"/>
      <c r="M77" s="325"/>
    </row>
    <row r="78" spans="1:13" ht="12.75">
      <c r="A78" s="325"/>
      <c r="B78" s="329" t="s">
        <v>237</v>
      </c>
      <c r="C78" s="329"/>
      <c r="D78" s="329"/>
      <c r="E78" s="329"/>
      <c r="F78" s="329"/>
      <c r="G78" s="329"/>
      <c r="H78" s="329"/>
      <c r="I78" s="329"/>
      <c r="J78" s="329"/>
      <c r="K78" s="329"/>
      <c r="L78" s="325"/>
      <c r="M78" s="325"/>
    </row>
    <row r="79" spans="1:13" ht="12.75">
      <c r="A79" s="325"/>
      <c r="B79" s="331" t="s">
        <v>19</v>
      </c>
      <c r="C79" s="329"/>
      <c r="D79" s="329"/>
      <c r="E79" s="329"/>
      <c r="F79" s="329"/>
      <c r="G79" s="329"/>
      <c r="H79" s="329"/>
      <c r="I79" s="329"/>
      <c r="J79" s="329"/>
      <c r="K79" s="329"/>
      <c r="L79" s="325"/>
      <c r="M79" s="325"/>
    </row>
    <row r="80" spans="1:13" ht="12.75">
      <c r="A80" s="325"/>
      <c r="B80" s="329" t="s">
        <v>238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5"/>
      <c r="M80" s="325"/>
    </row>
    <row r="81" spans="1:13" ht="12.75">
      <c r="A81" s="325"/>
      <c r="B81" s="331" t="s">
        <v>241</v>
      </c>
      <c r="C81" s="329"/>
      <c r="D81" s="329"/>
      <c r="E81" s="329"/>
      <c r="F81" s="329"/>
      <c r="G81" s="329"/>
      <c r="H81" s="329"/>
      <c r="I81" s="329"/>
      <c r="J81" s="329"/>
      <c r="K81" s="329"/>
      <c r="L81" s="325"/>
      <c r="M81" s="325"/>
    </row>
    <row r="82" spans="1:13" ht="12.75">
      <c r="A82" s="325"/>
      <c r="B82" s="329" t="s">
        <v>242</v>
      </c>
      <c r="C82" s="329"/>
      <c r="D82" s="329"/>
      <c r="E82" s="329"/>
      <c r="F82" s="329"/>
      <c r="G82" s="329"/>
      <c r="H82" s="329"/>
      <c r="I82" s="329"/>
      <c r="J82" s="329"/>
      <c r="K82" s="329"/>
      <c r="L82" s="325"/>
      <c r="M82" s="325"/>
    </row>
    <row r="83" spans="1:13" ht="12.75">
      <c r="A83" s="325"/>
      <c r="B83" s="462" t="s">
        <v>280</v>
      </c>
      <c r="C83" s="350"/>
      <c r="D83" s="350"/>
      <c r="E83" s="350"/>
      <c r="F83" s="350"/>
      <c r="G83" s="350"/>
      <c r="H83" s="350"/>
      <c r="I83" s="350"/>
      <c r="J83" s="350"/>
      <c r="K83" s="350"/>
      <c r="L83" s="351"/>
      <c r="M83" s="325"/>
    </row>
    <row r="84" spans="1:13" ht="12.75">
      <c r="A84" s="325"/>
      <c r="B84" s="349" t="s">
        <v>218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1"/>
      <c r="M84" s="325"/>
    </row>
    <row r="85" spans="1:13" ht="12.75">
      <c r="A85" s="325"/>
      <c r="B85" s="350" t="s">
        <v>219</v>
      </c>
      <c r="C85" s="329"/>
      <c r="D85" s="329"/>
      <c r="E85" s="329"/>
      <c r="F85" s="329"/>
      <c r="G85" s="329"/>
      <c r="H85" s="329"/>
      <c r="I85" s="329"/>
      <c r="J85" s="329"/>
      <c r="K85" s="329"/>
      <c r="L85" s="325"/>
      <c r="M85" s="325"/>
    </row>
    <row r="86" spans="1:13" ht="12.75">
      <c r="A86" s="325"/>
      <c r="B86" s="329"/>
      <c r="C86" s="329"/>
      <c r="D86" s="329"/>
      <c r="E86" s="329"/>
      <c r="F86" s="675"/>
      <c r="G86" s="675"/>
      <c r="H86" s="598"/>
      <c r="I86" s="598"/>
      <c r="J86" s="598"/>
      <c r="K86" s="598"/>
      <c r="L86" s="598"/>
      <c r="M86" s="325"/>
    </row>
    <row r="87" spans="1:13" ht="12.75">
      <c r="A87" s="325"/>
      <c r="B87" s="329" t="s">
        <v>244</v>
      </c>
      <c r="C87" s="329"/>
      <c r="D87" s="329"/>
      <c r="E87" s="329"/>
      <c r="F87" s="675" t="s">
        <v>243</v>
      </c>
      <c r="G87" s="675"/>
      <c r="H87" s="598"/>
      <c r="I87" s="598"/>
      <c r="J87" s="598"/>
      <c r="K87" s="598"/>
      <c r="L87" s="598"/>
      <c r="M87" s="325"/>
    </row>
    <row r="88" spans="1:13" ht="12.75">
      <c r="A88" s="325"/>
      <c r="B88" s="329"/>
      <c r="C88" s="329"/>
      <c r="D88" s="329"/>
      <c r="E88" s="329"/>
      <c r="F88" s="675"/>
      <c r="G88" s="675"/>
      <c r="H88" s="598"/>
      <c r="I88" s="598"/>
      <c r="J88" s="598"/>
      <c r="K88" s="598"/>
      <c r="L88" s="598"/>
      <c r="M88" s="325"/>
    </row>
    <row r="89" spans="2:11" ht="12.75">
      <c r="B89" s="324"/>
      <c r="C89" s="324"/>
      <c r="D89" s="324"/>
      <c r="E89" s="324"/>
      <c r="F89" s="324"/>
      <c r="G89" s="324"/>
      <c r="H89" s="324"/>
      <c r="I89" s="324"/>
      <c r="J89" s="324"/>
      <c r="K89" s="324"/>
    </row>
    <row r="90" spans="2:11" ht="12.75">
      <c r="B90" s="324"/>
      <c r="C90" s="324"/>
      <c r="D90" s="324"/>
      <c r="E90" s="324"/>
      <c r="F90" s="324"/>
      <c r="G90" s="324"/>
      <c r="H90" s="324"/>
      <c r="I90" s="324"/>
      <c r="J90" s="324"/>
      <c r="K90" s="324"/>
    </row>
    <row r="91" spans="2:11" ht="12.75">
      <c r="B91" s="324"/>
      <c r="C91" s="324"/>
      <c r="D91" s="324"/>
      <c r="E91" s="324"/>
      <c r="F91" s="324"/>
      <c r="G91" s="324"/>
      <c r="H91" s="324"/>
      <c r="I91" s="324"/>
      <c r="J91" s="324"/>
      <c r="K91" s="324"/>
    </row>
    <row r="92" spans="2:11" ht="12.75">
      <c r="B92" s="324"/>
      <c r="C92" s="324"/>
      <c r="D92" s="324"/>
      <c r="E92" s="324"/>
      <c r="F92" s="324"/>
      <c r="G92" s="324"/>
      <c r="H92" s="324"/>
      <c r="I92" s="324"/>
      <c r="J92" s="324"/>
      <c r="K92" s="324"/>
    </row>
    <row r="93" spans="2:11" ht="12.75">
      <c r="B93" s="324"/>
      <c r="C93" s="324"/>
      <c r="D93" s="324"/>
      <c r="E93" s="324"/>
      <c r="F93" s="324"/>
      <c r="G93" s="324"/>
      <c r="H93" s="324"/>
      <c r="I93" s="324"/>
      <c r="J93" s="324"/>
      <c r="K93" s="324"/>
    </row>
    <row r="94" spans="2:11" ht="12.75">
      <c r="B94" s="324"/>
      <c r="C94" s="324"/>
      <c r="D94" s="324"/>
      <c r="E94" s="324"/>
      <c r="F94" s="324"/>
      <c r="G94" s="324"/>
      <c r="H94" s="324"/>
      <c r="I94" s="324"/>
      <c r="J94" s="324"/>
      <c r="K94" s="324"/>
    </row>
    <row r="95" spans="2:11" ht="12.75">
      <c r="B95" s="324"/>
      <c r="C95" s="324"/>
      <c r="D95" s="324"/>
      <c r="E95" s="324"/>
      <c r="F95" s="324"/>
      <c r="G95" s="324"/>
      <c r="H95" s="324"/>
      <c r="I95" s="324"/>
      <c r="J95" s="324"/>
      <c r="K95" s="324"/>
    </row>
    <row r="96" spans="2:11" ht="12.75">
      <c r="B96" s="324"/>
      <c r="C96" s="324"/>
      <c r="D96" s="324"/>
      <c r="E96" s="324"/>
      <c r="F96" s="324"/>
      <c r="G96" s="324"/>
      <c r="H96" s="324"/>
      <c r="I96" s="324"/>
      <c r="J96" s="324"/>
      <c r="K96" s="324"/>
    </row>
    <row r="97" spans="2:11" ht="12.75">
      <c r="B97" s="324"/>
      <c r="C97" s="324"/>
      <c r="D97" s="324"/>
      <c r="E97" s="324"/>
      <c r="F97" s="324"/>
      <c r="G97" s="324"/>
      <c r="H97" s="324"/>
      <c r="I97" s="324"/>
      <c r="J97" s="324"/>
      <c r="K97" s="324"/>
    </row>
    <row r="98" spans="2:11" ht="12.75">
      <c r="B98" s="324"/>
      <c r="C98" s="324"/>
      <c r="D98" s="324"/>
      <c r="E98" s="324"/>
      <c r="F98" s="324"/>
      <c r="G98" s="324"/>
      <c r="H98" s="324"/>
      <c r="I98" s="324"/>
      <c r="J98" s="324"/>
      <c r="K98" s="324"/>
    </row>
    <row r="99" spans="2:11" ht="12.75">
      <c r="B99" s="324"/>
      <c r="C99" s="324"/>
      <c r="D99" s="324"/>
      <c r="E99" s="324"/>
      <c r="F99" s="324"/>
      <c r="G99" s="324"/>
      <c r="H99" s="324"/>
      <c r="I99" s="324"/>
      <c r="J99" s="324"/>
      <c r="K99" s="324"/>
    </row>
    <row r="100" spans="2:11" ht="12.75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ht="12.75"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</row>
    <row r="102" spans="2:11" ht="12.75"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</row>
    <row r="103" spans="2:11" ht="12.75"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</row>
    <row r="104" spans="2:11" ht="12.75"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</row>
    <row r="105" spans="2:11" ht="12.75"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</row>
    <row r="106" spans="2:11" ht="12.75"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</row>
    <row r="107" spans="2:11" ht="12.75"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</row>
    <row r="108" spans="2:11" ht="12.75"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</row>
    <row r="109" spans="2:11" ht="12.75"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</row>
    <row r="110" spans="2:11" ht="12.75"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</row>
    <row r="111" spans="2:11" ht="12.75"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</row>
    <row r="112" spans="2:11" ht="12.75"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</row>
    <row r="113" spans="2:11" ht="12.75"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</row>
    <row r="114" ht="12.75">
      <c r="B114" s="324"/>
    </row>
  </sheetData>
  <sheetProtection/>
  <mergeCells count="3">
    <mergeCell ref="F86:L86"/>
    <mergeCell ref="F87:L87"/>
    <mergeCell ref="F88:L88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J37" sqref="J37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0"/>
      <c r="X1" s="46"/>
      <c r="AA1" s="62"/>
      <c r="AB1" s="62"/>
      <c r="AC1" s="62"/>
    </row>
    <row r="2" spans="3:29" ht="18" thickBot="1">
      <c r="C2" s="628" t="str">
        <f>"Kalender "&amp;gewJahr</f>
        <v>Kalender 2020</v>
      </c>
      <c r="D2" s="629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0" t="s">
        <v>66</v>
      </c>
      <c r="B4" s="631"/>
      <c r="C4" s="626" t="s">
        <v>67</v>
      </c>
      <c r="D4" s="632"/>
      <c r="E4" s="626" t="s">
        <v>68</v>
      </c>
      <c r="F4" s="627"/>
      <c r="G4" s="626" t="s">
        <v>69</v>
      </c>
      <c r="H4" s="627"/>
      <c r="I4" s="626" t="s">
        <v>70</v>
      </c>
      <c r="J4" s="627"/>
      <c r="K4" s="633" t="s">
        <v>71</v>
      </c>
      <c r="L4" s="634"/>
      <c r="M4" s="626" t="s">
        <v>72</v>
      </c>
      <c r="N4" s="627"/>
      <c r="O4" s="626" t="s">
        <v>73</v>
      </c>
      <c r="P4" s="627"/>
      <c r="Q4" s="626" t="s">
        <v>74</v>
      </c>
      <c r="R4" s="627"/>
      <c r="S4" s="626" t="s">
        <v>75</v>
      </c>
      <c r="T4" s="627"/>
      <c r="U4" s="626" t="s">
        <v>76</v>
      </c>
      <c r="V4" s="627"/>
      <c r="W4" s="626" t="s">
        <v>77</v>
      </c>
      <c r="X4" s="627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4">
        <f>DATE(gewJahr,1,1)</f>
        <v>43831</v>
      </c>
      <c r="B5" s="155" t="s">
        <v>43</v>
      </c>
      <c r="C5" s="92">
        <f>DATE(gewJahr,2,1)</f>
        <v>43862</v>
      </c>
      <c r="D5" s="93"/>
      <c r="E5" s="92">
        <f>DATE(gewJahr,3,1)</f>
        <v>43891</v>
      </c>
      <c r="F5" s="93"/>
      <c r="G5" s="92">
        <f>DATE(gewJahr,4,1)</f>
        <v>43922</v>
      </c>
      <c r="H5" s="166"/>
      <c r="I5" s="154">
        <f>DATE(gewJahr,5,1)</f>
        <v>43952</v>
      </c>
      <c r="J5" s="169" t="str">
        <f>IF(I5=$E$43,$C$43,"Maifeiertag")</f>
        <v>Maifeiertag</v>
      </c>
      <c r="K5" s="92">
        <f>DATE(gewJahr,6,1)</f>
        <v>43983</v>
      </c>
      <c r="L5" s="97" t="str">
        <f aca="true" t="shared" si="0" ref="L5:L31">IF(K5=$E$43,$C$43,IF(K5=$E$44,$C$44,IF(K5=$E$45,$C$45,IF(K5=$E$46,$C$46,""))))</f>
        <v>Pfingstmontag</v>
      </c>
      <c r="M5" s="92">
        <f>DATE(gewJahr,7,1)</f>
        <v>44013</v>
      </c>
      <c r="N5" s="93"/>
      <c r="O5" s="92">
        <f>DATE(gewJahr,8,1)</f>
        <v>44044</v>
      </c>
      <c r="P5" s="93"/>
      <c r="Q5" s="92">
        <f>DATE(gewJahr,9,1)</f>
        <v>44075</v>
      </c>
      <c r="R5" s="93"/>
      <c r="S5" s="92">
        <f>DATE(gewJahr,10,1)</f>
        <v>44105</v>
      </c>
      <c r="T5" s="93"/>
      <c r="U5" s="154">
        <f>DATE(gewJahr,11,1)</f>
        <v>44136</v>
      </c>
      <c r="V5" s="158" t="s">
        <v>50</v>
      </c>
      <c r="W5" s="92">
        <f>DATE(gewJahr,12,1)</f>
        <v>44166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43832</v>
      </c>
      <c r="B6" s="93"/>
      <c r="C6" s="92">
        <f>C5+1</f>
        <v>43863</v>
      </c>
      <c r="D6" s="93"/>
      <c r="E6" s="92">
        <f>E5+1</f>
        <v>43892</v>
      </c>
      <c r="F6" s="93"/>
      <c r="G6" s="92">
        <f aca="true" t="shared" si="1" ref="G6:G34">G5+1</f>
        <v>43923</v>
      </c>
      <c r="H6" s="168">
        <f>IF(G6=$E$40,$C$40,IF(G6=$E$41,$C$41,IF(G6=$E$42,$C$42,"")))</f>
      </c>
      <c r="I6" s="92">
        <f aca="true" t="shared" si="2" ref="I6:I35">I5+1</f>
        <v>43953</v>
      </c>
      <c r="J6" s="97">
        <f>IF(I6=$E$43,$C$43,"")</f>
      </c>
      <c r="K6" s="92">
        <f>K5+1</f>
        <v>43984</v>
      </c>
      <c r="L6" s="97">
        <f t="shared" si="0"/>
      </c>
      <c r="M6" s="92">
        <f>M5+1</f>
        <v>44014</v>
      </c>
      <c r="N6" s="93"/>
      <c r="O6" s="92">
        <f aca="true" t="shared" si="3" ref="O6:O35">O5+1</f>
        <v>44045</v>
      </c>
      <c r="P6" s="93"/>
      <c r="Q6" s="92">
        <f>Q5+1</f>
        <v>44076</v>
      </c>
      <c r="R6" s="93"/>
      <c r="S6" s="92">
        <f>S5+1</f>
        <v>44106</v>
      </c>
      <c r="T6" s="93"/>
      <c r="U6" s="92">
        <f>U5+1</f>
        <v>44137</v>
      </c>
      <c r="V6" s="93"/>
      <c r="W6" s="92">
        <f>W5+1</f>
        <v>44167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43833</v>
      </c>
      <c r="B7" s="93"/>
      <c r="C7" s="92">
        <f aca="true" t="shared" si="5" ref="C7:C32">C6+1</f>
        <v>43864</v>
      </c>
      <c r="D7" s="93"/>
      <c r="E7" s="92">
        <f aca="true" t="shared" si="6" ref="E7:E23">E6+1</f>
        <v>43893</v>
      </c>
      <c r="F7" s="93"/>
      <c r="G7" s="92">
        <f t="shared" si="1"/>
        <v>43924</v>
      </c>
      <c r="H7" s="167">
        <f aca="true" t="shared" si="7" ref="H7:H29">IF(G7=$E$40,$C$40,IF(G7=$E$41,$C$41,IF(G7=$E$42,$C$42,"")))</f>
      </c>
      <c r="I7" s="92">
        <f t="shared" si="2"/>
        <v>43954</v>
      </c>
      <c r="J7" s="97">
        <f>IF(I7=$E$43,$C$43,"")</f>
      </c>
      <c r="K7" s="92">
        <f aca="true" t="shared" si="8" ref="K7:K31">K6+1</f>
        <v>43985</v>
      </c>
      <c r="L7" s="97">
        <f t="shared" si="0"/>
      </c>
      <c r="M7" s="92">
        <f aca="true" t="shared" si="9" ref="M7:M35">M6+1</f>
        <v>44015</v>
      </c>
      <c r="N7" s="93"/>
      <c r="O7" s="92">
        <f t="shared" si="3"/>
        <v>44046</v>
      </c>
      <c r="P7" s="93"/>
      <c r="Q7" s="92">
        <f aca="true" t="shared" si="10" ref="Q7:Q34">Q6+1</f>
        <v>44077</v>
      </c>
      <c r="R7" s="93"/>
      <c r="S7" s="154">
        <f aca="true" t="shared" si="11" ref="S7:S35">S6+1</f>
        <v>44107</v>
      </c>
      <c r="T7" s="156" t="s">
        <v>78</v>
      </c>
      <c r="U7" s="92">
        <f aca="true" t="shared" si="12" ref="U7:U19">U6+1</f>
        <v>44138</v>
      </c>
      <c r="V7" s="93"/>
      <c r="W7" s="92">
        <f aca="true" t="shared" si="13" ref="W7:W28">W6+1</f>
        <v>44168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43834</v>
      </c>
      <c r="B8" s="93"/>
      <c r="C8" s="92">
        <f t="shared" si="5"/>
        <v>43865</v>
      </c>
      <c r="D8" s="93"/>
      <c r="E8" s="92">
        <f t="shared" si="6"/>
        <v>43894</v>
      </c>
      <c r="F8" s="93"/>
      <c r="G8" s="92">
        <f t="shared" si="1"/>
        <v>43925</v>
      </c>
      <c r="H8" s="167">
        <f t="shared" si="7"/>
      </c>
      <c r="I8" s="92">
        <f t="shared" si="2"/>
        <v>43955</v>
      </c>
      <c r="J8" s="97">
        <f>IF(I8=$E$43,$C$43,"")</f>
      </c>
      <c r="K8" s="92">
        <f t="shared" si="8"/>
        <v>43986</v>
      </c>
      <c r="L8" s="97">
        <f t="shared" si="0"/>
      </c>
      <c r="M8" s="92">
        <f t="shared" si="9"/>
        <v>44016</v>
      </c>
      <c r="N8" s="93"/>
      <c r="O8" s="92">
        <f t="shared" si="3"/>
        <v>44047</v>
      </c>
      <c r="P8" s="93"/>
      <c r="Q8" s="92">
        <f t="shared" si="10"/>
        <v>44078</v>
      </c>
      <c r="R8" s="93"/>
      <c r="S8" s="92">
        <f t="shared" si="11"/>
        <v>44108</v>
      </c>
      <c r="T8" s="93"/>
      <c r="U8" s="92">
        <f t="shared" si="12"/>
        <v>44139</v>
      </c>
      <c r="V8" s="93"/>
      <c r="W8" s="92">
        <f t="shared" si="13"/>
        <v>44169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43835</v>
      </c>
      <c r="B9" s="93"/>
      <c r="C9" s="92">
        <f t="shared" si="5"/>
        <v>43866</v>
      </c>
      <c r="D9" s="93"/>
      <c r="E9" s="92">
        <f t="shared" si="6"/>
        <v>43895</v>
      </c>
      <c r="F9" s="93"/>
      <c r="G9" s="92">
        <f t="shared" si="1"/>
        <v>43926</v>
      </c>
      <c r="H9" s="167">
        <f t="shared" si="7"/>
      </c>
      <c r="I9" s="92">
        <f t="shared" si="2"/>
        <v>43956</v>
      </c>
      <c r="J9" s="97">
        <f>IF(I9=$E$43,$C$43,"")</f>
      </c>
      <c r="K9" s="92">
        <f t="shared" si="8"/>
        <v>43987</v>
      </c>
      <c r="L9" s="97">
        <f t="shared" si="0"/>
      </c>
      <c r="M9" s="92">
        <f t="shared" si="9"/>
        <v>44017</v>
      </c>
      <c r="N9" s="93"/>
      <c r="O9" s="92">
        <f t="shared" si="3"/>
        <v>44048</v>
      </c>
      <c r="P9" s="93"/>
      <c r="Q9" s="92">
        <f t="shared" si="10"/>
        <v>44079</v>
      </c>
      <c r="R9" s="93"/>
      <c r="S9" s="92">
        <f t="shared" si="11"/>
        <v>44109</v>
      </c>
      <c r="T9" s="93"/>
      <c r="U9" s="92">
        <f t="shared" si="12"/>
        <v>44140</v>
      </c>
      <c r="V9" s="93"/>
      <c r="W9" s="92">
        <f t="shared" si="13"/>
        <v>44170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4">
        <f>A9+1</f>
        <v>43836</v>
      </c>
      <c r="B10" s="158" t="s">
        <v>94</v>
      </c>
      <c r="C10" s="92">
        <f t="shared" si="5"/>
        <v>43867</v>
      </c>
      <c r="D10" s="93"/>
      <c r="E10" s="92">
        <f t="shared" si="6"/>
        <v>43896</v>
      </c>
      <c r="F10" s="93"/>
      <c r="G10" s="92">
        <f t="shared" si="1"/>
        <v>43927</v>
      </c>
      <c r="H10" s="167">
        <f t="shared" si="7"/>
      </c>
      <c r="I10" s="92">
        <f t="shared" si="2"/>
        <v>43957</v>
      </c>
      <c r="J10" s="97">
        <f>IF(I10=$E$43,$C$43,"")</f>
      </c>
      <c r="K10" s="92">
        <f t="shared" si="8"/>
        <v>43988</v>
      </c>
      <c r="L10" s="97">
        <f t="shared" si="0"/>
      </c>
      <c r="M10" s="92">
        <f t="shared" si="9"/>
        <v>44018</v>
      </c>
      <c r="N10" s="93"/>
      <c r="O10" s="92">
        <f t="shared" si="3"/>
        <v>44049</v>
      </c>
      <c r="P10" s="93"/>
      <c r="Q10" s="92">
        <f t="shared" si="10"/>
        <v>44080</v>
      </c>
      <c r="R10" s="93"/>
      <c r="S10" s="92">
        <f t="shared" si="11"/>
        <v>44110</v>
      </c>
      <c r="T10" s="93"/>
      <c r="U10" s="92">
        <f t="shared" si="12"/>
        <v>44141</v>
      </c>
      <c r="V10" s="93"/>
      <c r="W10" s="92">
        <f t="shared" si="13"/>
        <v>44171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43837</v>
      </c>
      <c r="B11" s="93"/>
      <c r="C11" s="92">
        <f t="shared" si="5"/>
        <v>43868</v>
      </c>
      <c r="D11" s="93"/>
      <c r="E11" s="92">
        <f t="shared" si="6"/>
        <v>43897</v>
      </c>
      <c r="F11" s="93"/>
      <c r="G11" s="92">
        <f t="shared" si="1"/>
        <v>43928</v>
      </c>
      <c r="H11" s="167">
        <f t="shared" si="7"/>
      </c>
      <c r="I11" s="92">
        <f t="shared" si="2"/>
        <v>43958</v>
      </c>
      <c r="J11" s="97">
        <f>IF(I11=$E$43,$C$43,IF(I11=$E$44,$C$44,IF(I11=$E$45,$C$45,"")))</f>
      </c>
      <c r="K11" s="92">
        <f t="shared" si="8"/>
        <v>43989</v>
      </c>
      <c r="L11" s="97">
        <f t="shared" si="0"/>
      </c>
      <c r="M11" s="92">
        <f t="shared" si="9"/>
        <v>44019</v>
      </c>
      <c r="N11" s="93"/>
      <c r="O11" s="92">
        <f t="shared" si="3"/>
        <v>44050</v>
      </c>
      <c r="P11" s="93"/>
      <c r="Q11" s="92">
        <f t="shared" si="10"/>
        <v>44081</v>
      </c>
      <c r="R11" s="93"/>
      <c r="S11" s="92">
        <f t="shared" si="11"/>
        <v>44111</v>
      </c>
      <c r="T11" s="93"/>
      <c r="U11" s="92">
        <f t="shared" si="12"/>
        <v>44142</v>
      </c>
      <c r="V11" s="93"/>
      <c r="W11" s="92">
        <f t="shared" si="13"/>
        <v>44172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43838</v>
      </c>
      <c r="B12" s="93"/>
      <c r="C12" s="92">
        <f t="shared" si="5"/>
        <v>43869</v>
      </c>
      <c r="D12" s="93"/>
      <c r="E12" s="92">
        <f t="shared" si="6"/>
        <v>43898</v>
      </c>
      <c r="F12" s="93"/>
      <c r="G12" s="92">
        <f t="shared" si="1"/>
        <v>43929</v>
      </c>
      <c r="H12" s="167">
        <f t="shared" si="7"/>
      </c>
      <c r="I12" s="92">
        <f t="shared" si="2"/>
        <v>43959</v>
      </c>
      <c r="J12" s="97">
        <f aca="true" t="shared" si="14" ref="J12:J19">IF(I12=$E$43,$C$43,IF(I12=$E$44,$C$44,IF(I12=$E$45,$C$45,"")))</f>
      </c>
      <c r="K12" s="92">
        <f t="shared" si="8"/>
        <v>43990</v>
      </c>
      <c r="L12" s="97">
        <f t="shared" si="0"/>
      </c>
      <c r="M12" s="92">
        <f t="shared" si="9"/>
        <v>44020</v>
      </c>
      <c r="N12" s="93"/>
      <c r="O12" s="92">
        <f t="shared" si="3"/>
        <v>44051</v>
      </c>
      <c r="P12" s="93"/>
      <c r="Q12" s="92">
        <f t="shared" si="10"/>
        <v>44082</v>
      </c>
      <c r="R12" s="93"/>
      <c r="S12" s="92">
        <f t="shared" si="11"/>
        <v>44112</v>
      </c>
      <c r="T12" s="93"/>
      <c r="U12" s="92">
        <f t="shared" si="12"/>
        <v>44143</v>
      </c>
      <c r="V12" s="93"/>
      <c r="W12" s="92">
        <f t="shared" si="13"/>
        <v>44173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43839</v>
      </c>
      <c r="B13" s="93"/>
      <c r="C13" s="92">
        <f t="shared" si="5"/>
        <v>43870</v>
      </c>
      <c r="D13" s="93"/>
      <c r="E13" s="92">
        <f t="shared" si="6"/>
        <v>43899</v>
      </c>
      <c r="F13" s="93"/>
      <c r="G13" s="92">
        <f t="shared" si="1"/>
        <v>43930</v>
      </c>
      <c r="H13" s="167">
        <f t="shared" si="7"/>
      </c>
      <c r="I13" s="92">
        <f t="shared" si="2"/>
        <v>43960</v>
      </c>
      <c r="J13" s="97">
        <f t="shared" si="14"/>
      </c>
      <c r="K13" s="92">
        <f t="shared" si="8"/>
        <v>43991</v>
      </c>
      <c r="L13" s="97">
        <f t="shared" si="0"/>
      </c>
      <c r="M13" s="92">
        <f t="shared" si="9"/>
        <v>44021</v>
      </c>
      <c r="N13" s="93"/>
      <c r="O13" s="92">
        <f t="shared" si="3"/>
        <v>44052</v>
      </c>
      <c r="P13" s="93"/>
      <c r="Q13" s="92">
        <f t="shared" si="10"/>
        <v>44083</v>
      </c>
      <c r="R13" s="93"/>
      <c r="S13" s="92">
        <f t="shared" si="11"/>
        <v>44113</v>
      </c>
      <c r="T13" s="93"/>
      <c r="U13" s="92">
        <f t="shared" si="12"/>
        <v>44144</v>
      </c>
      <c r="V13" s="93"/>
      <c r="W13" s="92">
        <f t="shared" si="13"/>
        <v>44174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43840</v>
      </c>
      <c r="B14" s="93"/>
      <c r="C14" s="92">
        <f t="shared" si="5"/>
        <v>43871</v>
      </c>
      <c r="D14" s="93"/>
      <c r="E14" s="92">
        <f t="shared" si="6"/>
        <v>43900</v>
      </c>
      <c r="F14" s="93"/>
      <c r="G14" s="92">
        <f t="shared" si="1"/>
        <v>43931</v>
      </c>
      <c r="H14" s="167" t="str">
        <f t="shared" si="7"/>
        <v>Karfreitag</v>
      </c>
      <c r="I14" s="92">
        <f t="shared" si="2"/>
        <v>43961</v>
      </c>
      <c r="J14" s="97">
        <f t="shared" si="14"/>
      </c>
      <c r="K14" s="92">
        <f t="shared" si="8"/>
        <v>43992</v>
      </c>
      <c r="L14" s="97">
        <f t="shared" si="0"/>
      </c>
      <c r="M14" s="92">
        <f t="shared" si="9"/>
        <v>44022</v>
      </c>
      <c r="N14" s="93"/>
      <c r="O14" s="92">
        <f t="shared" si="3"/>
        <v>44053</v>
      </c>
      <c r="P14" s="93"/>
      <c r="Q14" s="92">
        <f t="shared" si="10"/>
        <v>44084</v>
      </c>
      <c r="R14" s="93"/>
      <c r="S14" s="92">
        <f t="shared" si="11"/>
        <v>44114</v>
      </c>
      <c r="T14" s="93"/>
      <c r="U14" s="92">
        <f t="shared" si="12"/>
        <v>44145</v>
      </c>
      <c r="V14" s="93"/>
      <c r="W14" s="92">
        <f t="shared" si="13"/>
        <v>44175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43841</v>
      </c>
      <c r="B15" s="93"/>
      <c r="C15" s="92">
        <f t="shared" si="5"/>
        <v>43872</v>
      </c>
      <c r="D15" s="93"/>
      <c r="E15" s="92">
        <f t="shared" si="6"/>
        <v>43901</v>
      </c>
      <c r="F15" s="93"/>
      <c r="G15" s="92">
        <f t="shared" si="1"/>
        <v>43932</v>
      </c>
      <c r="H15" s="167">
        <f t="shared" si="7"/>
      </c>
      <c r="I15" s="92">
        <f t="shared" si="2"/>
        <v>43962</v>
      </c>
      <c r="J15" s="97">
        <f t="shared" si="14"/>
      </c>
      <c r="K15" s="92">
        <f t="shared" si="8"/>
        <v>43993</v>
      </c>
      <c r="L15" s="97" t="str">
        <f t="shared" si="0"/>
        <v>Fronleichnam</v>
      </c>
      <c r="M15" s="92">
        <f t="shared" si="9"/>
        <v>44023</v>
      </c>
      <c r="N15" s="93"/>
      <c r="O15" s="92">
        <f t="shared" si="3"/>
        <v>44054</v>
      </c>
      <c r="P15" s="93"/>
      <c r="Q15" s="92">
        <f t="shared" si="10"/>
        <v>44085</v>
      </c>
      <c r="R15" s="93"/>
      <c r="S15" s="92">
        <f t="shared" si="11"/>
        <v>44115</v>
      </c>
      <c r="T15" s="93"/>
      <c r="U15" s="92">
        <f t="shared" si="12"/>
        <v>44146</v>
      </c>
      <c r="V15" s="93"/>
      <c r="W15" s="92">
        <f t="shared" si="13"/>
        <v>44176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43842</v>
      </c>
      <c r="B16" s="93"/>
      <c r="C16" s="92">
        <f t="shared" si="5"/>
        <v>43873</v>
      </c>
      <c r="D16" s="93"/>
      <c r="E16" s="92">
        <f t="shared" si="6"/>
        <v>43902</v>
      </c>
      <c r="F16" s="93"/>
      <c r="G16" s="92">
        <f t="shared" si="1"/>
        <v>43933</v>
      </c>
      <c r="H16" s="167" t="str">
        <f t="shared" si="7"/>
        <v>Ostersonntag</v>
      </c>
      <c r="I16" s="92">
        <f t="shared" si="2"/>
        <v>43963</v>
      </c>
      <c r="J16" s="97">
        <f t="shared" si="14"/>
      </c>
      <c r="K16" s="92">
        <f t="shared" si="8"/>
        <v>43994</v>
      </c>
      <c r="L16" s="97">
        <f t="shared" si="0"/>
      </c>
      <c r="M16" s="92">
        <f t="shared" si="9"/>
        <v>44024</v>
      </c>
      <c r="N16" s="93"/>
      <c r="O16" s="92">
        <f t="shared" si="3"/>
        <v>44055</v>
      </c>
      <c r="P16" s="93"/>
      <c r="Q16" s="92">
        <f t="shared" si="10"/>
        <v>44086</v>
      </c>
      <c r="R16" s="93"/>
      <c r="S16" s="92">
        <f t="shared" si="11"/>
        <v>44116</v>
      </c>
      <c r="T16" s="93"/>
      <c r="U16" s="92">
        <f t="shared" si="12"/>
        <v>44147</v>
      </c>
      <c r="V16" s="93"/>
      <c r="W16" s="92">
        <f t="shared" si="13"/>
        <v>44177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43843</v>
      </c>
      <c r="B17" s="93"/>
      <c r="C17" s="92">
        <f t="shared" si="5"/>
        <v>43874</v>
      </c>
      <c r="D17" s="93"/>
      <c r="E17" s="92">
        <f t="shared" si="6"/>
        <v>43903</v>
      </c>
      <c r="F17" s="93"/>
      <c r="G17" s="92">
        <f t="shared" si="1"/>
        <v>43934</v>
      </c>
      <c r="H17" s="167" t="str">
        <f t="shared" si="7"/>
        <v>Ostermontag</v>
      </c>
      <c r="I17" s="92">
        <f t="shared" si="2"/>
        <v>43964</v>
      </c>
      <c r="J17" s="97">
        <f t="shared" si="14"/>
      </c>
      <c r="K17" s="92">
        <f t="shared" si="8"/>
        <v>43995</v>
      </c>
      <c r="L17" s="97">
        <f t="shared" si="0"/>
      </c>
      <c r="M17" s="92">
        <f t="shared" si="9"/>
        <v>44025</v>
      </c>
      <c r="N17" s="93"/>
      <c r="O17" s="92">
        <f t="shared" si="3"/>
        <v>44056</v>
      </c>
      <c r="P17" s="93"/>
      <c r="Q17" s="92">
        <f t="shared" si="10"/>
        <v>44087</v>
      </c>
      <c r="R17" s="93"/>
      <c r="S17" s="92">
        <f t="shared" si="11"/>
        <v>44117</v>
      </c>
      <c r="T17" s="93"/>
      <c r="U17" s="92">
        <f t="shared" si="12"/>
        <v>44148</v>
      </c>
      <c r="V17" s="158"/>
      <c r="W17" s="92">
        <f t="shared" si="13"/>
        <v>44178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43844</v>
      </c>
      <c r="B18" s="93"/>
      <c r="C18" s="92">
        <f t="shared" si="5"/>
        <v>43875</v>
      </c>
      <c r="D18" s="93"/>
      <c r="E18" s="92">
        <f t="shared" si="6"/>
        <v>43904</v>
      </c>
      <c r="F18" s="93"/>
      <c r="G18" s="92">
        <f t="shared" si="1"/>
        <v>43935</v>
      </c>
      <c r="H18" s="167">
        <f t="shared" si="7"/>
      </c>
      <c r="I18" s="92">
        <f t="shared" si="2"/>
        <v>43965</v>
      </c>
      <c r="J18" s="97">
        <f t="shared" si="14"/>
      </c>
      <c r="K18" s="92">
        <f t="shared" si="8"/>
        <v>43996</v>
      </c>
      <c r="L18" s="97">
        <f t="shared" si="0"/>
      </c>
      <c r="M18" s="92">
        <f t="shared" si="9"/>
        <v>44026</v>
      </c>
      <c r="N18" s="93"/>
      <c r="O18" s="92">
        <f t="shared" si="3"/>
        <v>44057</v>
      </c>
      <c r="P18" s="93"/>
      <c r="Q18" s="92">
        <f t="shared" si="10"/>
        <v>44088</v>
      </c>
      <c r="R18" s="93"/>
      <c r="S18" s="92">
        <f t="shared" si="11"/>
        <v>44118</v>
      </c>
      <c r="T18" s="93"/>
      <c r="U18" s="92">
        <f t="shared" si="12"/>
        <v>44149</v>
      </c>
      <c r="V18" s="158"/>
      <c r="W18" s="92">
        <f t="shared" si="13"/>
        <v>44179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43845</v>
      </c>
      <c r="B19" s="93"/>
      <c r="C19" s="92">
        <f t="shared" si="5"/>
        <v>43876</v>
      </c>
      <c r="D19" s="93"/>
      <c r="E19" s="92">
        <f t="shared" si="6"/>
        <v>43905</v>
      </c>
      <c r="F19" s="93"/>
      <c r="G19" s="92">
        <f t="shared" si="1"/>
        <v>43936</v>
      </c>
      <c r="H19" s="167">
        <f t="shared" si="7"/>
      </c>
      <c r="I19" s="92">
        <f t="shared" si="2"/>
        <v>43966</v>
      </c>
      <c r="J19" s="97">
        <f t="shared" si="14"/>
      </c>
      <c r="K19" s="92">
        <f t="shared" si="8"/>
        <v>43997</v>
      </c>
      <c r="L19" s="97">
        <f t="shared" si="0"/>
      </c>
      <c r="M19" s="92">
        <f t="shared" si="9"/>
        <v>44027</v>
      </c>
      <c r="N19" s="93"/>
      <c r="O19" s="154">
        <f t="shared" si="3"/>
        <v>44058</v>
      </c>
      <c r="P19" s="97" t="s">
        <v>93</v>
      </c>
      <c r="Q19" s="92">
        <f t="shared" si="10"/>
        <v>44089</v>
      </c>
      <c r="R19" s="93"/>
      <c r="S19" s="92">
        <f t="shared" si="11"/>
        <v>44119</v>
      </c>
      <c r="T19" s="93"/>
      <c r="U19" s="92">
        <f t="shared" si="12"/>
        <v>44150</v>
      </c>
      <c r="V19" s="158"/>
      <c r="W19" s="92">
        <f t="shared" si="13"/>
        <v>44180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43846</v>
      </c>
      <c r="B20" s="93"/>
      <c r="C20" s="92">
        <f t="shared" si="5"/>
        <v>43877</v>
      </c>
      <c r="D20" s="93"/>
      <c r="E20" s="92">
        <f t="shared" si="6"/>
        <v>43906</v>
      </c>
      <c r="F20" s="93"/>
      <c r="G20" s="92">
        <f t="shared" si="1"/>
        <v>43937</v>
      </c>
      <c r="H20" s="167">
        <f t="shared" si="7"/>
      </c>
      <c r="I20" s="92">
        <f t="shared" si="2"/>
        <v>43967</v>
      </c>
      <c r="J20" s="97">
        <f>IF(I20=$E$43,$C$43,IF(I20=$E$44,$C$44,IF(I20=$E$45,$C$45,IF(I20=$E$46,$C$46,""))))</f>
      </c>
      <c r="K20" s="92">
        <f t="shared" si="8"/>
        <v>43998</v>
      </c>
      <c r="L20" s="97">
        <f t="shared" si="0"/>
      </c>
      <c r="M20" s="92">
        <f t="shared" si="9"/>
        <v>44028</v>
      </c>
      <c r="N20" s="93"/>
      <c r="O20" s="92">
        <f t="shared" si="3"/>
        <v>44059</v>
      </c>
      <c r="P20" s="93"/>
      <c r="Q20" s="92">
        <f t="shared" si="10"/>
        <v>44090</v>
      </c>
      <c r="R20" s="93"/>
      <c r="S20" s="92">
        <f t="shared" si="11"/>
        <v>44120</v>
      </c>
      <c r="T20" s="93"/>
      <c r="U20" s="92">
        <f aca="true" t="shared" si="15" ref="U20:U34">U19+1</f>
        <v>44151</v>
      </c>
      <c r="V20" s="158">
        <f aca="true" t="shared" si="16" ref="V20:V26">IF(WEEKDAY(U20)=4,"Buß und Bettag","")</f>
      </c>
      <c r="W20" s="92">
        <f t="shared" si="13"/>
        <v>44181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43847</v>
      </c>
      <c r="B21" s="93"/>
      <c r="C21" s="92">
        <f t="shared" si="5"/>
        <v>43878</v>
      </c>
      <c r="D21" s="93"/>
      <c r="E21" s="92">
        <f t="shared" si="6"/>
        <v>43907</v>
      </c>
      <c r="F21" s="93"/>
      <c r="G21" s="92">
        <f t="shared" si="1"/>
        <v>43938</v>
      </c>
      <c r="H21" s="167">
        <f t="shared" si="7"/>
      </c>
      <c r="I21" s="92">
        <f t="shared" si="2"/>
        <v>43968</v>
      </c>
      <c r="J21" s="97">
        <f aca="true" t="shared" si="17" ref="J21:J35">IF(I21=$E$43,$C$43,IF(I21=$E$44,$C$44,IF(I21=$E$45,$C$45,IF(I21=$E$46,$C$46,""))))</f>
      </c>
      <c r="K21" s="92">
        <f t="shared" si="8"/>
        <v>43999</v>
      </c>
      <c r="L21" s="97">
        <f t="shared" si="0"/>
      </c>
      <c r="M21" s="92">
        <f t="shared" si="9"/>
        <v>44029</v>
      </c>
      <c r="N21" s="93"/>
      <c r="O21" s="92">
        <f t="shared" si="3"/>
        <v>44060</v>
      </c>
      <c r="P21" s="93"/>
      <c r="Q21" s="92">
        <f t="shared" si="10"/>
        <v>44091</v>
      </c>
      <c r="R21" s="93"/>
      <c r="S21" s="92">
        <f t="shared" si="11"/>
        <v>44121</v>
      </c>
      <c r="T21" s="93"/>
      <c r="U21" s="92">
        <f t="shared" si="15"/>
        <v>44152</v>
      </c>
      <c r="V21" s="158">
        <f t="shared" si="16"/>
      </c>
      <c r="W21" s="92">
        <f t="shared" si="13"/>
        <v>44182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43848</v>
      </c>
      <c r="B22" s="93"/>
      <c r="C22" s="92">
        <f t="shared" si="5"/>
        <v>43879</v>
      </c>
      <c r="D22" s="93"/>
      <c r="E22" s="92">
        <f t="shared" si="6"/>
        <v>43908</v>
      </c>
      <c r="F22" s="93"/>
      <c r="G22" s="92">
        <f t="shared" si="1"/>
        <v>43939</v>
      </c>
      <c r="H22" s="167">
        <f t="shared" si="7"/>
      </c>
      <c r="I22" s="92">
        <f t="shared" si="2"/>
        <v>43969</v>
      </c>
      <c r="J22" s="97">
        <f t="shared" si="17"/>
      </c>
      <c r="K22" s="92">
        <f t="shared" si="8"/>
        <v>44000</v>
      </c>
      <c r="L22" s="97">
        <f t="shared" si="0"/>
      </c>
      <c r="M22" s="92">
        <f t="shared" si="9"/>
        <v>44030</v>
      </c>
      <c r="N22" s="93"/>
      <c r="O22" s="92">
        <f t="shared" si="3"/>
        <v>44061</v>
      </c>
      <c r="P22" s="93"/>
      <c r="Q22" s="92">
        <f t="shared" si="10"/>
        <v>44092</v>
      </c>
      <c r="R22" s="93"/>
      <c r="S22" s="92">
        <f t="shared" si="11"/>
        <v>44122</v>
      </c>
      <c r="T22" s="93"/>
      <c r="U22" s="92">
        <f t="shared" si="15"/>
        <v>44153</v>
      </c>
      <c r="V22" s="158" t="str">
        <f t="shared" si="16"/>
        <v>Buß und Bettag</v>
      </c>
      <c r="W22" s="92">
        <f t="shared" si="13"/>
        <v>44183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43849</v>
      </c>
      <c r="B23" s="93"/>
      <c r="C23" s="92">
        <f t="shared" si="5"/>
        <v>43880</v>
      </c>
      <c r="D23" s="93"/>
      <c r="E23" s="92">
        <f t="shared" si="6"/>
        <v>43909</v>
      </c>
      <c r="F23" s="93"/>
      <c r="G23" s="92">
        <f t="shared" si="1"/>
        <v>43940</v>
      </c>
      <c r="H23" s="167">
        <f t="shared" si="7"/>
      </c>
      <c r="I23" s="92">
        <f t="shared" si="2"/>
        <v>43970</v>
      </c>
      <c r="J23" s="97">
        <f t="shared" si="17"/>
      </c>
      <c r="K23" s="92">
        <f t="shared" si="8"/>
        <v>44001</v>
      </c>
      <c r="L23" s="97">
        <f t="shared" si="0"/>
      </c>
      <c r="M23" s="92">
        <f t="shared" si="9"/>
        <v>44031</v>
      </c>
      <c r="N23" s="93"/>
      <c r="O23" s="92">
        <f t="shared" si="3"/>
        <v>44062</v>
      </c>
      <c r="P23" s="93"/>
      <c r="Q23" s="92">
        <f t="shared" si="10"/>
        <v>44093</v>
      </c>
      <c r="R23" s="93"/>
      <c r="S23" s="92">
        <f t="shared" si="11"/>
        <v>44123</v>
      </c>
      <c r="T23" s="93"/>
      <c r="U23" s="92">
        <f t="shared" si="15"/>
        <v>44154</v>
      </c>
      <c r="V23" s="158">
        <f t="shared" si="16"/>
      </c>
      <c r="W23" s="92">
        <f t="shared" si="13"/>
        <v>44184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43850</v>
      </c>
      <c r="B24" s="93"/>
      <c r="C24" s="92">
        <f t="shared" si="5"/>
        <v>43881</v>
      </c>
      <c r="D24" s="93"/>
      <c r="E24" s="161">
        <f aca="true" t="shared" si="18" ref="E24:E35">E23+1</f>
        <v>43910</v>
      </c>
      <c r="F24" s="167"/>
      <c r="G24" s="92">
        <f t="shared" si="1"/>
        <v>43941</v>
      </c>
      <c r="H24" s="167">
        <f t="shared" si="7"/>
      </c>
      <c r="I24" s="92">
        <f t="shared" si="2"/>
        <v>43971</v>
      </c>
      <c r="J24" s="97">
        <f t="shared" si="17"/>
      </c>
      <c r="K24" s="92">
        <f t="shared" si="8"/>
        <v>44002</v>
      </c>
      <c r="L24" s="97">
        <f t="shared" si="0"/>
      </c>
      <c r="M24" s="92">
        <f t="shared" si="9"/>
        <v>44032</v>
      </c>
      <c r="N24" s="93"/>
      <c r="O24" s="92">
        <f t="shared" si="3"/>
        <v>44063</v>
      </c>
      <c r="P24" s="93"/>
      <c r="Q24" s="92">
        <f t="shared" si="10"/>
        <v>44094</v>
      </c>
      <c r="R24" s="93"/>
      <c r="S24" s="92">
        <f t="shared" si="11"/>
        <v>44124</v>
      </c>
      <c r="T24" s="93"/>
      <c r="U24" s="92">
        <f t="shared" si="15"/>
        <v>44155</v>
      </c>
      <c r="V24" s="158">
        <f t="shared" si="16"/>
      </c>
      <c r="W24" s="92">
        <f t="shared" si="13"/>
        <v>44185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43851</v>
      </c>
      <c r="B25" s="93"/>
      <c r="C25" s="92">
        <f t="shared" si="5"/>
        <v>43882</v>
      </c>
      <c r="D25" s="93"/>
      <c r="E25" s="161">
        <f t="shared" si="18"/>
        <v>43911</v>
      </c>
      <c r="F25" s="167"/>
      <c r="G25" s="92">
        <f t="shared" si="1"/>
        <v>43942</v>
      </c>
      <c r="H25" s="167">
        <f t="shared" si="7"/>
      </c>
      <c r="I25" s="92">
        <f t="shared" si="2"/>
        <v>43972</v>
      </c>
      <c r="J25" s="97" t="str">
        <f t="shared" si="17"/>
        <v>Chr. Himmelfahrt</v>
      </c>
      <c r="K25" s="92">
        <f t="shared" si="8"/>
        <v>44003</v>
      </c>
      <c r="L25" s="97">
        <f t="shared" si="0"/>
      </c>
      <c r="M25" s="92">
        <f t="shared" si="9"/>
        <v>44033</v>
      </c>
      <c r="N25" s="93"/>
      <c r="O25" s="92">
        <f t="shared" si="3"/>
        <v>44064</v>
      </c>
      <c r="P25" s="93"/>
      <c r="Q25" s="92">
        <f t="shared" si="10"/>
        <v>44095</v>
      </c>
      <c r="R25" s="93"/>
      <c r="S25" s="92">
        <f t="shared" si="11"/>
        <v>44125</v>
      </c>
      <c r="T25" s="93"/>
      <c r="U25" s="92">
        <f t="shared" si="15"/>
        <v>44156</v>
      </c>
      <c r="V25" s="158">
        <f t="shared" si="16"/>
      </c>
      <c r="W25" s="92">
        <f t="shared" si="13"/>
        <v>44186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43852</v>
      </c>
      <c r="B26" s="93"/>
      <c r="C26" s="92">
        <f t="shared" si="5"/>
        <v>43883</v>
      </c>
      <c r="D26" s="93"/>
      <c r="E26" s="161">
        <f t="shared" si="18"/>
        <v>43912</v>
      </c>
      <c r="F26" s="167">
        <f aca="true" t="shared" si="19" ref="F26:F35">IF(E26=$E$40,$C$40,IF(E26=$E$41,$C$41,IF(E26=$E$42,$C$42,"")))</f>
      </c>
      <c r="G26" s="92">
        <f t="shared" si="1"/>
        <v>43943</v>
      </c>
      <c r="H26" s="167">
        <f t="shared" si="7"/>
      </c>
      <c r="I26" s="92">
        <f t="shared" si="2"/>
        <v>43973</v>
      </c>
      <c r="J26" s="97">
        <f t="shared" si="17"/>
      </c>
      <c r="K26" s="92">
        <f t="shared" si="8"/>
        <v>44004</v>
      </c>
      <c r="L26" s="97">
        <f t="shared" si="0"/>
      </c>
      <c r="M26" s="92">
        <f t="shared" si="9"/>
        <v>44034</v>
      </c>
      <c r="N26" s="93"/>
      <c r="O26" s="92">
        <f t="shared" si="3"/>
        <v>44065</v>
      </c>
      <c r="P26" s="93"/>
      <c r="Q26" s="92">
        <f t="shared" si="10"/>
        <v>44096</v>
      </c>
      <c r="R26" s="93"/>
      <c r="S26" s="92">
        <f t="shared" si="11"/>
        <v>44126</v>
      </c>
      <c r="T26" s="93"/>
      <c r="U26" s="92">
        <f t="shared" si="15"/>
        <v>44157</v>
      </c>
      <c r="V26" s="158">
        <f t="shared" si="16"/>
      </c>
      <c r="W26" s="92">
        <f t="shared" si="13"/>
        <v>44187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43853</v>
      </c>
      <c r="B27" s="93"/>
      <c r="C27" s="92">
        <f t="shared" si="5"/>
        <v>43884</v>
      </c>
      <c r="D27" s="93"/>
      <c r="E27" s="92">
        <f t="shared" si="18"/>
        <v>43913</v>
      </c>
      <c r="F27" s="167">
        <f t="shared" si="19"/>
      </c>
      <c r="G27" s="92">
        <f t="shared" si="1"/>
        <v>43944</v>
      </c>
      <c r="H27" s="167">
        <f t="shared" si="7"/>
      </c>
      <c r="I27" s="92">
        <f t="shared" si="2"/>
        <v>43974</v>
      </c>
      <c r="J27" s="97">
        <f t="shared" si="17"/>
      </c>
      <c r="K27" s="92">
        <f t="shared" si="8"/>
        <v>44005</v>
      </c>
      <c r="L27" s="97">
        <f t="shared" si="0"/>
      </c>
      <c r="M27" s="92">
        <f t="shared" si="9"/>
        <v>44035</v>
      </c>
      <c r="N27" s="93"/>
      <c r="O27" s="92">
        <f t="shared" si="3"/>
        <v>44066</v>
      </c>
      <c r="P27" s="93"/>
      <c r="Q27" s="92">
        <f t="shared" si="10"/>
        <v>44097</v>
      </c>
      <c r="R27" s="93"/>
      <c r="S27" s="92">
        <f t="shared" si="11"/>
        <v>44127</v>
      </c>
      <c r="T27" s="93"/>
      <c r="U27" s="92">
        <f t="shared" si="15"/>
        <v>44158</v>
      </c>
      <c r="V27" s="93"/>
      <c r="W27" s="92">
        <f t="shared" si="13"/>
        <v>44188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43854</v>
      </c>
      <c r="B28" s="93"/>
      <c r="C28" s="92">
        <f t="shared" si="5"/>
        <v>43885</v>
      </c>
      <c r="D28" s="93"/>
      <c r="E28" s="92">
        <f t="shared" si="18"/>
        <v>43914</v>
      </c>
      <c r="F28" s="167">
        <f t="shared" si="19"/>
      </c>
      <c r="G28" s="92">
        <f t="shared" si="1"/>
        <v>43945</v>
      </c>
      <c r="H28" s="167">
        <f t="shared" si="7"/>
      </c>
      <c r="I28" s="92">
        <f t="shared" si="2"/>
        <v>43975</v>
      </c>
      <c r="J28" s="97">
        <f t="shared" si="17"/>
      </c>
      <c r="K28" s="92">
        <f t="shared" si="8"/>
        <v>44006</v>
      </c>
      <c r="L28" s="97">
        <f t="shared" si="0"/>
      </c>
      <c r="M28" s="92">
        <f t="shared" si="9"/>
        <v>44036</v>
      </c>
      <c r="N28" s="93"/>
      <c r="O28" s="92">
        <f t="shared" si="3"/>
        <v>44067</v>
      </c>
      <c r="P28" s="93"/>
      <c r="Q28" s="92">
        <f t="shared" si="10"/>
        <v>44098</v>
      </c>
      <c r="R28" s="93"/>
      <c r="S28" s="92">
        <f t="shared" si="11"/>
        <v>44128</v>
      </c>
      <c r="T28" s="93"/>
      <c r="U28" s="92">
        <f t="shared" si="15"/>
        <v>44159</v>
      </c>
      <c r="V28" s="93"/>
      <c r="W28" s="92">
        <f t="shared" si="13"/>
        <v>44189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43855</v>
      </c>
      <c r="B29" s="93"/>
      <c r="C29" s="92">
        <f t="shared" si="5"/>
        <v>43886</v>
      </c>
      <c r="D29" s="93"/>
      <c r="E29" s="92">
        <f t="shared" si="18"/>
        <v>43915</v>
      </c>
      <c r="F29" s="167">
        <f t="shared" si="19"/>
      </c>
      <c r="G29" s="92">
        <f t="shared" si="1"/>
        <v>43946</v>
      </c>
      <c r="H29" s="167">
        <f t="shared" si="7"/>
      </c>
      <c r="I29" s="92">
        <f t="shared" si="2"/>
        <v>43976</v>
      </c>
      <c r="J29" s="97">
        <f t="shared" si="17"/>
      </c>
      <c r="K29" s="92">
        <f t="shared" si="8"/>
        <v>44007</v>
      </c>
      <c r="L29" s="97">
        <f t="shared" si="0"/>
      </c>
      <c r="M29" s="92">
        <f t="shared" si="9"/>
        <v>44037</v>
      </c>
      <c r="N29" s="93"/>
      <c r="O29" s="92">
        <f t="shared" si="3"/>
        <v>44068</v>
      </c>
      <c r="P29" s="93"/>
      <c r="Q29" s="92">
        <f t="shared" si="10"/>
        <v>44099</v>
      </c>
      <c r="R29" s="93"/>
      <c r="S29" s="92">
        <f t="shared" si="11"/>
        <v>44129</v>
      </c>
      <c r="T29" s="93"/>
      <c r="U29" s="92">
        <f t="shared" si="15"/>
        <v>44160</v>
      </c>
      <c r="V29" s="96"/>
      <c r="W29" s="157">
        <f aca="true" t="shared" si="20" ref="W29:W35">W28+1</f>
        <v>44190</v>
      </c>
      <c r="X29" s="160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43856</v>
      </c>
      <c r="B30" s="93"/>
      <c r="C30" s="92">
        <f t="shared" si="5"/>
        <v>43887</v>
      </c>
      <c r="D30" s="93"/>
      <c r="E30" s="92">
        <f t="shared" si="18"/>
        <v>43916</v>
      </c>
      <c r="F30" s="167">
        <f t="shared" si="19"/>
      </c>
      <c r="G30" s="92">
        <f t="shared" si="1"/>
        <v>43947</v>
      </c>
      <c r="H30" s="167"/>
      <c r="I30" s="92">
        <f t="shared" si="2"/>
        <v>43977</v>
      </c>
      <c r="J30" s="97">
        <f t="shared" si="17"/>
      </c>
      <c r="K30" s="92">
        <f t="shared" si="8"/>
        <v>44008</v>
      </c>
      <c r="L30" s="97">
        <f t="shared" si="0"/>
      </c>
      <c r="M30" s="92">
        <f t="shared" si="9"/>
        <v>44038</v>
      </c>
      <c r="N30" s="93"/>
      <c r="O30" s="92">
        <f t="shared" si="3"/>
        <v>44069</v>
      </c>
      <c r="P30" s="93"/>
      <c r="Q30" s="92">
        <f t="shared" si="10"/>
        <v>44100</v>
      </c>
      <c r="R30" s="93"/>
      <c r="S30" s="92">
        <f t="shared" si="11"/>
        <v>44130</v>
      </c>
      <c r="T30" s="93"/>
      <c r="U30" s="92">
        <f t="shared" si="15"/>
        <v>44161</v>
      </c>
      <c r="V30" s="93"/>
      <c r="W30" s="162">
        <f t="shared" si="20"/>
        <v>44191</v>
      </c>
      <c r="X30" s="163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43857</v>
      </c>
      <c r="B31" s="93"/>
      <c r="C31" s="92">
        <f t="shared" si="5"/>
        <v>43888</v>
      </c>
      <c r="D31" s="93"/>
      <c r="E31" s="92">
        <f t="shared" si="18"/>
        <v>43917</v>
      </c>
      <c r="F31" s="167">
        <f t="shared" si="19"/>
      </c>
      <c r="G31" s="92">
        <f t="shared" si="1"/>
        <v>43948</v>
      </c>
      <c r="H31" s="167"/>
      <c r="I31" s="92">
        <f t="shared" si="2"/>
        <v>43978</v>
      </c>
      <c r="J31" s="97">
        <f t="shared" si="17"/>
      </c>
      <c r="K31" s="92">
        <f t="shared" si="8"/>
        <v>44009</v>
      </c>
      <c r="L31" s="97">
        <f t="shared" si="0"/>
      </c>
      <c r="M31" s="92">
        <f t="shared" si="9"/>
        <v>44039</v>
      </c>
      <c r="N31" s="93"/>
      <c r="O31" s="92">
        <f t="shared" si="3"/>
        <v>44070</v>
      </c>
      <c r="P31" s="93"/>
      <c r="Q31" s="92">
        <f t="shared" si="10"/>
        <v>44101</v>
      </c>
      <c r="R31" s="93"/>
      <c r="S31" s="92">
        <f t="shared" si="11"/>
        <v>44131</v>
      </c>
      <c r="T31" s="93"/>
      <c r="U31" s="92">
        <f t="shared" si="15"/>
        <v>44162</v>
      </c>
      <c r="V31" s="93"/>
      <c r="W31" s="161">
        <f t="shared" si="20"/>
        <v>44192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43858</v>
      </c>
      <c r="B32" s="93"/>
      <c r="C32" s="92">
        <f t="shared" si="5"/>
        <v>43889</v>
      </c>
      <c r="D32" s="93"/>
      <c r="E32" s="92">
        <f t="shared" si="18"/>
        <v>43918</v>
      </c>
      <c r="F32" s="167">
        <f t="shared" si="19"/>
      </c>
      <c r="G32" s="92">
        <f t="shared" si="1"/>
        <v>43949</v>
      </c>
      <c r="H32" s="167"/>
      <c r="I32" s="92">
        <f t="shared" si="2"/>
        <v>43979</v>
      </c>
      <c r="J32" s="97">
        <f t="shared" si="17"/>
      </c>
      <c r="K32" s="92">
        <f>K31+1</f>
        <v>44010</v>
      </c>
      <c r="L32" s="93"/>
      <c r="M32" s="92">
        <f t="shared" si="9"/>
        <v>44040</v>
      </c>
      <c r="N32" s="93"/>
      <c r="O32" s="92">
        <f t="shared" si="3"/>
        <v>44071</v>
      </c>
      <c r="P32" s="93"/>
      <c r="Q32" s="92">
        <f t="shared" si="10"/>
        <v>44102</v>
      </c>
      <c r="R32" s="93"/>
      <c r="S32" s="92">
        <f t="shared" si="11"/>
        <v>44132</v>
      </c>
      <c r="T32" s="93"/>
      <c r="U32" s="92">
        <f t="shared" si="15"/>
        <v>44163</v>
      </c>
      <c r="V32" s="93"/>
      <c r="W32" s="92">
        <f t="shared" si="20"/>
        <v>44193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43859</v>
      </c>
      <c r="B33" s="93"/>
      <c r="C33" s="94">
        <f>CHOOSE(OR(AND(MOD(gewJahr,4)=0,MOD(gewJahr,100)&lt;&gt;0),MOD(gewJahr,400)=0)+1,"",C32+1)</f>
        <v>43890</v>
      </c>
      <c r="D33" s="95"/>
      <c r="E33" s="92">
        <f t="shared" si="18"/>
        <v>43919</v>
      </c>
      <c r="F33" s="167">
        <f t="shared" si="19"/>
      </c>
      <c r="G33" s="92">
        <f t="shared" si="1"/>
        <v>43950</v>
      </c>
      <c r="H33" s="167"/>
      <c r="I33" s="92">
        <f t="shared" si="2"/>
        <v>43980</v>
      </c>
      <c r="J33" s="97">
        <f t="shared" si="17"/>
      </c>
      <c r="K33" s="92">
        <f>K32+1</f>
        <v>44011</v>
      </c>
      <c r="L33" s="93"/>
      <c r="M33" s="92">
        <f t="shared" si="9"/>
        <v>44041</v>
      </c>
      <c r="N33" s="93"/>
      <c r="O33" s="92">
        <f t="shared" si="3"/>
        <v>44072</v>
      </c>
      <c r="P33" s="93"/>
      <c r="Q33" s="92">
        <f t="shared" si="10"/>
        <v>44103</v>
      </c>
      <c r="R33" s="93"/>
      <c r="S33" s="92">
        <f t="shared" si="11"/>
        <v>44133</v>
      </c>
      <c r="T33" s="93"/>
      <c r="U33" s="92">
        <f t="shared" si="15"/>
        <v>44164</v>
      </c>
      <c r="V33" s="93"/>
      <c r="W33" s="92">
        <f t="shared" si="20"/>
        <v>44194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43860</v>
      </c>
      <c r="B34" s="96"/>
      <c r="C34" s="73"/>
      <c r="D34" s="72"/>
      <c r="E34" s="92">
        <f t="shared" si="18"/>
        <v>43920</v>
      </c>
      <c r="F34" s="167">
        <f t="shared" si="19"/>
      </c>
      <c r="G34" s="94">
        <f t="shared" si="1"/>
        <v>43951</v>
      </c>
      <c r="H34" s="181"/>
      <c r="I34" s="92">
        <f t="shared" si="2"/>
        <v>43981</v>
      </c>
      <c r="J34" s="97">
        <f t="shared" si="17"/>
      </c>
      <c r="K34" s="92">
        <f>K33+1</f>
        <v>44012</v>
      </c>
      <c r="L34" s="93"/>
      <c r="M34" s="92">
        <f t="shared" si="9"/>
        <v>44042</v>
      </c>
      <c r="N34" s="93"/>
      <c r="O34" s="92">
        <f t="shared" si="3"/>
        <v>44073</v>
      </c>
      <c r="P34" s="93"/>
      <c r="Q34" s="94">
        <f t="shared" si="10"/>
        <v>44104</v>
      </c>
      <c r="R34" s="95"/>
      <c r="S34" s="92">
        <f t="shared" si="11"/>
        <v>44134</v>
      </c>
      <c r="T34" s="93"/>
      <c r="U34" s="94">
        <f t="shared" si="15"/>
        <v>44165</v>
      </c>
      <c r="V34" s="95"/>
      <c r="W34" s="92">
        <f t="shared" si="20"/>
        <v>44195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43861</v>
      </c>
      <c r="B35" s="95"/>
      <c r="C35" s="98"/>
      <c r="D35" s="72"/>
      <c r="E35" s="94">
        <f t="shared" si="18"/>
        <v>43921</v>
      </c>
      <c r="F35" s="181">
        <f t="shared" si="19"/>
      </c>
      <c r="G35" s="98"/>
      <c r="H35" s="72"/>
      <c r="I35" s="94">
        <f t="shared" si="2"/>
        <v>43982</v>
      </c>
      <c r="J35" s="180" t="str">
        <f t="shared" si="17"/>
        <v>Pfingstsonntag</v>
      </c>
      <c r="K35" s="72"/>
      <c r="L35" s="72"/>
      <c r="M35" s="94">
        <f t="shared" si="9"/>
        <v>44043</v>
      </c>
      <c r="N35" s="95"/>
      <c r="O35" s="94">
        <f t="shared" si="3"/>
        <v>44074</v>
      </c>
      <c r="P35" s="95"/>
      <c r="Q35" s="98"/>
      <c r="R35" s="72"/>
      <c r="S35" s="157">
        <f t="shared" si="11"/>
        <v>44135</v>
      </c>
      <c r="T35" s="159" t="s">
        <v>62</v>
      </c>
      <c r="U35" s="72"/>
      <c r="V35" s="99"/>
      <c r="W35" s="94">
        <f t="shared" si="20"/>
        <v>44196</v>
      </c>
      <c r="X35" s="164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2020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43931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43933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43934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43972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43982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43983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43993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H24" sqref="H24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2.7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7.2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2020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51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155.5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166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152.5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142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150</v>
      </c>
      <c r="J6" s="33"/>
    </row>
    <row r="7" spans="1:10" ht="12.75">
      <c r="A7" s="24"/>
      <c r="B7" s="24"/>
      <c r="C7" s="248" t="s">
        <v>81</v>
      </c>
      <c r="D7" s="340">
        <f>Jan!$F$39*24</f>
        <v>25.333333333333336</v>
      </c>
      <c r="E7" s="340">
        <f>Feb!$F$39*24</f>
        <v>0</v>
      </c>
      <c r="F7" s="340">
        <f>März!$F$39*24</f>
        <v>0</v>
      </c>
      <c r="G7" s="340">
        <f>April!$F$39*24</f>
        <v>0</v>
      </c>
      <c r="H7" s="340">
        <f>Mai!$F$39*24</f>
        <v>0</v>
      </c>
      <c r="I7" s="495">
        <f>Juni!$F$39*24</f>
        <v>0</v>
      </c>
      <c r="J7" s="30"/>
    </row>
    <row r="8" spans="1:10" ht="12.75">
      <c r="A8" s="24"/>
      <c r="B8" s="24"/>
      <c r="C8" s="249" t="s">
        <v>33</v>
      </c>
      <c r="D8" s="341">
        <f aca="true" t="shared" si="0" ref="D8:I8">IF(D7-D6&gt;0,D7-D6,0)</f>
        <v>0</v>
      </c>
      <c r="E8" s="341">
        <f t="shared" si="0"/>
        <v>0</v>
      </c>
      <c r="F8" s="341">
        <f>IF(F7&gt;F6,F7-F6,0)</f>
        <v>0</v>
      </c>
      <c r="G8" s="341">
        <f t="shared" si="0"/>
        <v>0</v>
      </c>
      <c r="H8" s="341">
        <f t="shared" si="0"/>
        <v>0</v>
      </c>
      <c r="I8" s="496">
        <f t="shared" si="0"/>
        <v>0</v>
      </c>
      <c r="J8" s="24"/>
    </row>
    <row r="9" spans="1:10" ht="12.75">
      <c r="A9" s="24"/>
      <c r="B9" s="24"/>
      <c r="C9" s="61" t="s">
        <v>149</v>
      </c>
      <c r="D9" s="342"/>
      <c r="E9" s="344"/>
      <c r="F9" s="344"/>
      <c r="G9" s="344"/>
      <c r="H9" s="344"/>
      <c r="I9" s="286"/>
      <c r="J9" s="34"/>
    </row>
    <row r="10" spans="1:10" ht="12.75">
      <c r="A10" s="24"/>
      <c r="B10" s="24"/>
      <c r="C10" s="240" t="s">
        <v>82</v>
      </c>
      <c r="D10" s="345">
        <f>Jan!$I$39</f>
        <v>0.16666666666666652</v>
      </c>
      <c r="E10" s="345">
        <f>Feb!$I$39</f>
        <v>0</v>
      </c>
      <c r="F10" s="345">
        <f>März!$I$39</f>
        <v>0</v>
      </c>
      <c r="G10" s="345">
        <f>April!$I$39</f>
        <v>0</v>
      </c>
      <c r="H10" s="345">
        <f>Mai!$I$39</f>
        <v>0</v>
      </c>
      <c r="I10" s="346">
        <f>Juni!$I$39</f>
        <v>0</v>
      </c>
      <c r="J10" s="34"/>
    </row>
    <row r="11" spans="1:10" ht="12.75">
      <c r="A11" s="24"/>
      <c r="B11" s="24"/>
      <c r="C11" s="241" t="s">
        <v>83</v>
      </c>
      <c r="D11" s="343">
        <f>Jan!$F$43</f>
        <v>0</v>
      </c>
      <c r="E11" s="338">
        <f>Feb!$F$42</f>
        <v>0</v>
      </c>
      <c r="F11" s="287">
        <f>März!$F$43</f>
        <v>0</v>
      </c>
      <c r="G11" s="287">
        <f>April!$F$43</f>
        <v>0</v>
      </c>
      <c r="H11" s="287">
        <f>Mai!$F$43</f>
        <v>0</v>
      </c>
      <c r="I11" s="288">
        <f>Juni!$F$43</f>
        <v>0</v>
      </c>
      <c r="J11" s="35"/>
    </row>
    <row r="12" spans="1:11" ht="12.75">
      <c r="A12" s="24"/>
      <c r="B12" s="24"/>
      <c r="C12" s="189" t="s">
        <v>84</v>
      </c>
      <c r="D12" s="342">
        <f>Jan!$F$41</f>
        <v>0</v>
      </c>
      <c r="E12" s="339">
        <f>Feb!$F$40</f>
        <v>0</v>
      </c>
      <c r="F12" s="285">
        <f>März!$F$41</f>
        <v>0</v>
      </c>
      <c r="G12" s="285">
        <f>April!$F$41</f>
        <v>0</v>
      </c>
      <c r="H12" s="285">
        <f>Mai!$F$41</f>
        <v>0</v>
      </c>
      <c r="I12" s="289">
        <f>Juni!$F$41</f>
        <v>0</v>
      </c>
      <c r="J12" s="34"/>
      <c r="K12" s="191"/>
    </row>
    <row r="13" spans="1:10" ht="12.75" thickBot="1">
      <c r="A13" s="24"/>
      <c r="B13" s="24"/>
      <c r="C13" s="247" t="s">
        <v>121</v>
      </c>
      <c r="D13" s="290">
        <f>Jan!$F$42</f>
        <v>0</v>
      </c>
      <c r="E13" s="290">
        <f>Feb!$F$41</f>
        <v>0</v>
      </c>
      <c r="F13" s="290">
        <f>März!$F$42</f>
        <v>0</v>
      </c>
      <c r="G13" s="290">
        <f>April!$F$42</f>
        <v>0</v>
      </c>
      <c r="H13" s="290">
        <f>Mai!$F$42</f>
        <v>0</v>
      </c>
      <c r="I13" s="291">
        <f>Juni!$F$42</f>
        <v>0</v>
      </c>
      <c r="J13" s="34"/>
    </row>
    <row r="14" spans="1:10" ht="12.75">
      <c r="A14" s="24"/>
      <c r="B14" s="24"/>
      <c r="C14" s="263" t="s">
        <v>91</v>
      </c>
      <c r="D14" s="260">
        <f>Jan!$J$42</f>
        <v>0</v>
      </c>
      <c r="E14" s="264">
        <f>Feb!$J$42</f>
        <v>0</v>
      </c>
      <c r="F14" s="260">
        <f>März!$J$42</f>
        <v>0</v>
      </c>
      <c r="G14" s="264">
        <f>April!$J$42</f>
        <v>0</v>
      </c>
      <c r="H14" s="260">
        <f>Mai!$J$42</f>
        <v>0</v>
      </c>
      <c r="I14" s="265">
        <f>Juni!$J$42</f>
        <v>0</v>
      </c>
      <c r="J14" s="34"/>
    </row>
    <row r="15" spans="1:10" ht="12.75">
      <c r="A15" s="24"/>
      <c r="B15" s="16"/>
      <c r="C15" s="256" t="s">
        <v>175</v>
      </c>
      <c r="D15" s="305">
        <f>Jan!$J$43</f>
        <v>0</v>
      </c>
      <c r="E15" s="305">
        <f>Feb!$J$43</f>
        <v>0</v>
      </c>
      <c r="F15" s="305">
        <f>März!$J$43</f>
        <v>0</v>
      </c>
      <c r="G15" s="305">
        <f>April!$J$43</f>
        <v>0</v>
      </c>
      <c r="H15" s="305">
        <f>Mai!$J$43</f>
        <v>0</v>
      </c>
      <c r="I15" s="306">
        <f>Juni!$J$43</f>
        <v>0</v>
      </c>
      <c r="J15" s="34"/>
    </row>
    <row r="16" spans="1:10" ht="13.5" thickBot="1">
      <c r="A16" s="24"/>
      <c r="B16" s="16"/>
      <c r="C16" s="258" t="s">
        <v>90</v>
      </c>
      <c r="D16" s="261">
        <f>Jan!$J$40</f>
        <v>0</v>
      </c>
      <c r="E16" s="261">
        <f>Feb!$J$40</f>
        <v>0</v>
      </c>
      <c r="F16" s="261">
        <f>März!$J$40</f>
        <v>0</v>
      </c>
      <c r="G16" s="261">
        <f>April!$J$40</f>
        <v>0</v>
      </c>
      <c r="H16" s="262">
        <f>Mai!$J$40</f>
        <v>0</v>
      </c>
      <c r="I16" s="307">
        <f>Juni!$J$40</f>
        <v>0</v>
      </c>
      <c r="J16" s="34"/>
    </row>
    <row r="17" spans="1:10" ht="12.75">
      <c r="A17" s="24"/>
      <c r="B17" s="24"/>
      <c r="C17" s="252"/>
      <c r="D17" s="253" t="s">
        <v>72</v>
      </c>
      <c r="E17" s="254" t="s">
        <v>73</v>
      </c>
      <c r="F17" s="254" t="s">
        <v>74</v>
      </c>
      <c r="G17" s="254" t="s">
        <v>75</v>
      </c>
      <c r="H17" s="254" t="s">
        <v>76</v>
      </c>
      <c r="I17" s="255" t="s">
        <v>77</v>
      </c>
      <c r="J17" s="34"/>
    </row>
    <row r="18" spans="1:11" ht="12.75">
      <c r="A18" s="24"/>
      <c r="B18" s="24"/>
      <c r="C18" s="250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171.5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158</v>
      </c>
      <c r="F18" s="51">
        <f>(COUNTIF(Sep!C8:C38,2)*Stammdaten!$H$3)+(COUNTIF(Sep!C8:C38,3)*Stammdaten!$H$4)+(COUNTIF(Sep!C8:C38,4)*Stammdaten!$H$5)+(COUNTIF(Sep!C8:C38,5)*Stammdaten!$H$6)+(COUNTIF(Sep!C8:C38,6)*Stammdaten!$H$7)</f>
        <v>166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163.5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158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168.5</v>
      </c>
      <c r="J18" s="34"/>
      <c r="K18" s="190"/>
    </row>
    <row r="19" spans="1:10" ht="12.75">
      <c r="A19" s="24"/>
      <c r="B19" s="24"/>
      <c r="C19" s="308" t="s">
        <v>81</v>
      </c>
      <c r="D19" s="340">
        <f>Juli!$F$39*24</f>
        <v>0</v>
      </c>
      <c r="E19" s="340">
        <f>Aug!$F$39*24</f>
        <v>0</v>
      </c>
      <c r="F19" s="340">
        <f>Sep!$F$39*24</f>
        <v>0</v>
      </c>
      <c r="G19" s="340">
        <f>Okt!$F$39*24</f>
        <v>0</v>
      </c>
      <c r="H19" s="340">
        <f>Nov!$F$39*24</f>
        <v>0</v>
      </c>
      <c r="I19" s="495">
        <f>Dez!$F$39*24</f>
        <v>0</v>
      </c>
      <c r="J19" s="34"/>
    </row>
    <row r="20" spans="1:10" ht="12.75">
      <c r="A20" s="25"/>
      <c r="B20" s="24"/>
      <c r="C20" s="309" t="s">
        <v>33</v>
      </c>
      <c r="D20" s="497">
        <f aca="true" t="shared" si="1" ref="D20:I20">IF(D19-D18&gt;0,D19-D18,0)</f>
        <v>0</v>
      </c>
      <c r="E20" s="498">
        <f t="shared" si="1"/>
        <v>0</v>
      </c>
      <c r="F20" s="498">
        <f t="shared" si="1"/>
        <v>0</v>
      </c>
      <c r="G20" s="498">
        <f t="shared" si="1"/>
        <v>0</v>
      </c>
      <c r="H20" s="498">
        <f t="shared" si="1"/>
        <v>0</v>
      </c>
      <c r="I20" s="499">
        <f t="shared" si="1"/>
        <v>0</v>
      </c>
      <c r="J20" s="35"/>
    </row>
    <row r="21" spans="1:10" ht="12.75">
      <c r="A21" s="25"/>
      <c r="B21" s="25"/>
      <c r="C21" s="310" t="s">
        <v>149</v>
      </c>
      <c r="D21" s="347"/>
      <c r="E21" s="344"/>
      <c r="F21" s="344"/>
      <c r="G21" s="344"/>
      <c r="H21" s="344"/>
      <c r="I21" s="286"/>
      <c r="J21" s="36"/>
    </row>
    <row r="22" spans="1:10" ht="12.75">
      <c r="A22" s="24"/>
      <c r="B22" s="25"/>
      <c r="C22" s="245" t="s">
        <v>82</v>
      </c>
      <c r="D22" s="345">
        <f>Juli!$I$39</f>
        <v>0</v>
      </c>
      <c r="E22" s="345">
        <f>Aug!$I$39</f>
        <v>0</v>
      </c>
      <c r="F22" s="345">
        <f>Sep!$I$39</f>
        <v>0</v>
      </c>
      <c r="G22" s="345">
        <f>Okt!$I$39</f>
        <v>0</v>
      </c>
      <c r="H22" s="345">
        <f>Nov!$I$39</f>
        <v>0</v>
      </c>
      <c r="I22" s="346">
        <f>Dez!$I$39</f>
        <v>0</v>
      </c>
      <c r="J22" s="36"/>
    </row>
    <row r="23" spans="1:10" ht="12.75">
      <c r="A23" s="24"/>
      <c r="B23" s="37"/>
      <c r="C23" s="241" t="s">
        <v>83</v>
      </c>
      <c r="D23" s="287">
        <f>Juli!$F$43</f>
        <v>0</v>
      </c>
      <c r="E23" s="287">
        <f>Aug!$F$43</f>
        <v>0</v>
      </c>
      <c r="F23" s="287">
        <f>Sep!$F$43</f>
        <v>0</v>
      </c>
      <c r="G23" s="287">
        <f>Okt!$F$43</f>
        <v>0</v>
      </c>
      <c r="H23" s="287">
        <f>Nov!$F$43</f>
        <v>0</v>
      </c>
      <c r="I23" s="288">
        <f>Dez!$F$43</f>
        <v>0</v>
      </c>
      <c r="J23" s="35"/>
    </row>
    <row r="24" spans="1:10" ht="12.75">
      <c r="A24" s="24"/>
      <c r="B24" s="37"/>
      <c r="C24" s="189" t="s">
        <v>84</v>
      </c>
      <c r="D24" s="285">
        <f>Juli!$F$41</f>
        <v>0</v>
      </c>
      <c r="E24" s="285">
        <f>Aug!$F$41</f>
        <v>0</v>
      </c>
      <c r="F24" s="285">
        <f>Sep!$F$41</f>
        <v>0</v>
      </c>
      <c r="G24" s="285">
        <f>Okt!$F$41</f>
        <v>0</v>
      </c>
      <c r="H24" s="285">
        <f>Nov!$F$41</f>
        <v>0</v>
      </c>
      <c r="I24" s="289">
        <f>Dez!$F$41</f>
        <v>0</v>
      </c>
      <c r="J24" s="35"/>
    </row>
    <row r="25" spans="1:12" ht="13.5" thickBot="1">
      <c r="A25" s="24"/>
      <c r="B25" s="37"/>
      <c r="C25" s="246" t="s">
        <v>121</v>
      </c>
      <c r="D25" s="290">
        <f>Juli!$F$42</f>
        <v>0</v>
      </c>
      <c r="E25" s="290">
        <f>Aug!$F$42</f>
        <v>0</v>
      </c>
      <c r="F25" s="290">
        <f>Sep!$F$42</f>
        <v>0</v>
      </c>
      <c r="G25" s="290">
        <f>Okt!$F$42</f>
        <v>0</v>
      </c>
      <c r="H25" s="290">
        <f>Nov!$F$42</f>
        <v>0</v>
      </c>
      <c r="I25" s="291">
        <f>Dez!$F$42</f>
        <v>0</v>
      </c>
      <c r="J25" s="35"/>
      <c r="K25" s="292" t="s">
        <v>176</v>
      </c>
      <c r="L25" s="293"/>
    </row>
    <row r="26" spans="1:12" ht="12.75">
      <c r="A26" s="24"/>
      <c r="B26" s="37"/>
      <c r="C26" s="257" t="s">
        <v>91</v>
      </c>
      <c r="D26" s="311">
        <f>Juli!$J$42</f>
        <v>0</v>
      </c>
      <c r="E26" s="311">
        <f>Aug!$J$42</f>
        <v>0</v>
      </c>
      <c r="F26" s="311">
        <f>Sep!$J$42</f>
        <v>0</v>
      </c>
      <c r="G26" s="311">
        <f>Okt!$J$42</f>
        <v>0</v>
      </c>
      <c r="H26" s="311">
        <f>Nov!$J$42</f>
        <v>0</v>
      </c>
      <c r="I26" s="312">
        <f>Dez!$J$42</f>
        <v>0</v>
      </c>
      <c r="J26" s="35"/>
      <c r="K26" s="294" t="s">
        <v>91</v>
      </c>
      <c r="L26" s="295">
        <f>SUM(D14:I14)+SUM(D26:I26)</f>
        <v>0</v>
      </c>
    </row>
    <row r="27" spans="1:12" ht="12.75">
      <c r="A27" s="24"/>
      <c r="B27" s="37"/>
      <c r="C27" s="256" t="s">
        <v>175</v>
      </c>
      <c r="D27" s="305">
        <f>Juli!$J$43</f>
        <v>0</v>
      </c>
      <c r="E27" s="305">
        <f>Aug!$J$43</f>
        <v>0</v>
      </c>
      <c r="F27" s="305">
        <f>Sep!$J$43</f>
        <v>0</v>
      </c>
      <c r="G27" s="305">
        <f>Okt!$J$43</f>
        <v>0</v>
      </c>
      <c r="H27" s="305">
        <f>Nov!$J$43</f>
        <v>0</v>
      </c>
      <c r="I27" s="313">
        <f>Dez!$J$43</f>
        <v>0</v>
      </c>
      <c r="J27" s="35"/>
      <c r="K27" s="296" t="s">
        <v>175</v>
      </c>
      <c r="L27" s="295">
        <f>SUM(D15:I15)+SUM(D27:I27)</f>
        <v>0</v>
      </c>
    </row>
    <row r="28" spans="1:12" ht="13.5" thickBot="1">
      <c r="A28" s="24"/>
      <c r="B28" s="37"/>
      <c r="C28" s="259" t="s">
        <v>90</v>
      </c>
      <c r="D28" s="262">
        <f>Juli!$J$40</f>
        <v>0</v>
      </c>
      <c r="E28" s="262">
        <f>Aug!$J$40</f>
        <v>0</v>
      </c>
      <c r="F28" s="262">
        <f>Sep!$J$40</f>
        <v>0</v>
      </c>
      <c r="G28" s="262">
        <f>Okt!$J$40</f>
        <v>0</v>
      </c>
      <c r="H28" s="262">
        <f>Nov!$J$40</f>
        <v>0</v>
      </c>
      <c r="I28" s="314">
        <f>Dez!$J$40</f>
        <v>0</v>
      </c>
      <c r="J28" s="35"/>
      <c r="K28" s="297" t="s">
        <v>90</v>
      </c>
      <c r="L28" s="298">
        <f>SUM(D16:I16)+SUM(D28:I28)</f>
        <v>0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3" t="s">
        <v>110</v>
      </c>
      <c r="D30" s="174" t="s">
        <v>111</v>
      </c>
      <c r="E30" s="473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1" t="s">
        <v>97</v>
      </c>
      <c r="D31" s="172" t="s">
        <v>98</v>
      </c>
      <c r="E31" s="172" t="s">
        <v>99</v>
      </c>
      <c r="F31" s="37"/>
      <c r="G31" s="31"/>
      <c r="H31" s="22"/>
      <c r="I31" s="32"/>
      <c r="J31" s="35"/>
    </row>
    <row r="32" spans="1:10" ht="12.75">
      <c r="A32" s="25"/>
      <c r="B32" s="37"/>
      <c r="C32" s="171" t="s">
        <v>100</v>
      </c>
      <c r="D32" s="172" t="s">
        <v>101</v>
      </c>
      <c r="E32" s="172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1" t="s">
        <v>40</v>
      </c>
      <c r="D33" s="172" t="s">
        <v>103</v>
      </c>
      <c r="E33" s="172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1" t="s">
        <v>41</v>
      </c>
      <c r="D34" s="172" t="s">
        <v>105</v>
      </c>
      <c r="E34" s="172" t="s">
        <v>106</v>
      </c>
      <c r="F34" s="26"/>
      <c r="G34" s="27"/>
      <c r="H34" s="26"/>
      <c r="I34" s="27"/>
      <c r="J34" s="28"/>
      <c r="M34" s="493"/>
    </row>
    <row r="35" spans="1:13" ht="12.75">
      <c r="A35" s="25"/>
      <c r="B35" s="24"/>
      <c r="C35" s="171" t="s">
        <v>107</v>
      </c>
      <c r="D35" s="172" t="s">
        <v>108</v>
      </c>
      <c r="E35" s="172" t="s">
        <v>109</v>
      </c>
      <c r="F35" s="16"/>
      <c r="G35" s="29"/>
      <c r="H35" s="16"/>
      <c r="I35" s="29"/>
      <c r="J35" s="38"/>
      <c r="M35" s="494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493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8" operator="equal" stopIfTrue="1">
      <formula>3</formula>
    </cfRule>
    <cfRule type="cellIs" priority="2" dxfId="257" operator="equal" stopIfTrue="1">
      <formula>1</formula>
    </cfRule>
    <cfRule type="cellIs" priority="3" dxfId="256" operator="equal" stopIfTrue="1">
      <formula>2</formula>
    </cfRule>
  </conditionalFormatting>
  <conditionalFormatting sqref="J19">
    <cfRule type="cellIs" priority="4" dxfId="25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A1">
      <selection activeCell="D6" sqref="D6:K6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299" t="s">
        <v>177</v>
      </c>
      <c r="C2" s="300">
        <f>gewJahr</f>
        <v>2020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20" t="s">
        <v>54</v>
      </c>
      <c r="D5" s="303" t="s">
        <v>187</v>
      </c>
      <c r="E5" s="303" t="s">
        <v>188</v>
      </c>
      <c r="F5" s="303" t="s">
        <v>68</v>
      </c>
      <c r="G5" s="303" t="s">
        <v>69</v>
      </c>
      <c r="H5" s="303" t="s">
        <v>189</v>
      </c>
      <c r="I5" s="303" t="s">
        <v>71</v>
      </c>
      <c r="J5" s="303" t="s">
        <v>190</v>
      </c>
      <c r="K5" s="303" t="s">
        <v>191</v>
      </c>
      <c r="L5" s="303" t="s">
        <v>192</v>
      </c>
      <c r="M5" s="303" t="s">
        <v>193</v>
      </c>
      <c r="N5" s="303" t="s">
        <v>194</v>
      </c>
      <c r="O5" s="303" t="s">
        <v>195</v>
      </c>
    </row>
    <row r="6" spans="2:15" ht="12.75">
      <c r="B6" s="337" t="s">
        <v>215</v>
      </c>
      <c r="C6" s="334"/>
      <c r="D6" s="335">
        <v>43826</v>
      </c>
      <c r="E6" s="335"/>
      <c r="F6" s="335"/>
      <c r="G6" s="335"/>
      <c r="H6" s="335"/>
      <c r="I6" s="335"/>
      <c r="J6" s="335"/>
      <c r="K6" s="335"/>
      <c r="L6" s="335"/>
      <c r="M6" s="336"/>
      <c r="N6" s="335"/>
      <c r="O6" s="335"/>
    </row>
    <row r="7" spans="2:15" ht="12.75">
      <c r="B7" s="210" t="s">
        <v>211</v>
      </c>
      <c r="C7" s="318">
        <f>SUM(D7:O7)</f>
        <v>853.33</v>
      </c>
      <c r="D7" s="317">
        <v>853.33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2:15" ht="3" customHeight="1">
      <c r="B8" s="210"/>
      <c r="C8" s="31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2:15" ht="11.25" customHeight="1">
      <c r="B9" s="210" t="s">
        <v>204</v>
      </c>
      <c r="C9" s="318">
        <f>SUM(D9:O9)</f>
        <v>0</v>
      </c>
      <c r="D9" s="315">
        <v>0</v>
      </c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2:15" ht="3" customHeight="1">
      <c r="B10" s="210"/>
      <c r="C10" s="319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2:15" ht="12.75">
      <c r="B11" s="210" t="s">
        <v>205</v>
      </c>
      <c r="C11" s="318">
        <f>SUM(D11:O11)</f>
        <v>11.91999999999999</v>
      </c>
      <c r="D11" s="315">
        <v>11.91999999999999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2:15" ht="3.75" customHeight="1">
      <c r="B12" s="210"/>
      <c r="C12" s="319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</row>
    <row r="13" spans="2:15" ht="12.75">
      <c r="B13" s="210" t="s">
        <v>196</v>
      </c>
      <c r="C13" s="318">
        <f>SUM(D13:O13)</f>
        <v>0</v>
      </c>
      <c r="D13" s="315">
        <v>0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</row>
    <row r="14" spans="2:15" ht="3" customHeight="1">
      <c r="B14" s="210"/>
      <c r="C14" s="319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</row>
    <row r="15" spans="2:15" ht="12.75">
      <c r="B15" s="210" t="s">
        <v>27</v>
      </c>
      <c r="C15" s="318">
        <f>SUM(D15:O15)</f>
        <v>0</v>
      </c>
      <c r="D15" s="315">
        <v>0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</row>
    <row r="16" spans="2:15" ht="3.75" customHeight="1">
      <c r="B16" s="210"/>
      <c r="C16" s="319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</row>
    <row r="17" spans="2:15" ht="12.75">
      <c r="B17" s="210" t="s">
        <v>28</v>
      </c>
      <c r="C17" s="318">
        <f>SUM(D17:O17)</f>
        <v>0</v>
      </c>
      <c r="D17" s="315">
        <v>0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2:15" ht="3.75" customHeight="1">
      <c r="B18" s="210"/>
      <c r="C18" s="319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2:15" ht="12.75">
      <c r="B19" s="210" t="s">
        <v>197</v>
      </c>
      <c r="C19" s="318">
        <f>SUM(D19:O19)</f>
        <v>57.88</v>
      </c>
      <c r="D19" s="315">
        <v>57.88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2:15" ht="12.75">
      <c r="B20" s="210" t="s">
        <v>198</v>
      </c>
      <c r="C20" s="318">
        <f>SUM(D20:O20)</f>
        <v>68.58</v>
      </c>
      <c r="D20" s="315">
        <v>68.58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</row>
    <row r="21" spans="2:15" ht="12.75">
      <c r="B21" s="210" t="s">
        <v>206</v>
      </c>
      <c r="C21" s="318">
        <f>SUM(D21:O21)</f>
        <v>8.84</v>
      </c>
      <c r="D21" s="315">
        <v>8.84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</row>
    <row r="22" spans="2:15" ht="12.75">
      <c r="B22" s="210" t="s">
        <v>199</v>
      </c>
      <c r="C22" s="318">
        <f>SUM(D22:O22)</f>
        <v>11.25</v>
      </c>
      <c r="D22" s="316">
        <v>11.25</v>
      </c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2:15" ht="12.75">
      <c r="B23" s="210"/>
      <c r="C23" s="319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2:15" ht="12.75">
      <c r="B24" s="210"/>
      <c r="C24" s="319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2:15" ht="12.75">
      <c r="B25" s="210" t="s">
        <v>200</v>
      </c>
      <c r="C25" s="318">
        <f aca="true" t="shared" si="0" ref="C25:C32">SUM(D25:O25)</f>
        <v>66.98</v>
      </c>
      <c r="D25" s="315">
        <v>66.98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2:15" ht="12.75">
      <c r="B26" s="210" t="s">
        <v>201</v>
      </c>
      <c r="C26" s="318">
        <f t="shared" si="0"/>
        <v>79.36</v>
      </c>
      <c r="D26" s="315">
        <v>79.36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2:15" ht="12.75">
      <c r="B27" s="210" t="s">
        <v>203</v>
      </c>
      <c r="C27" s="318">
        <f t="shared" si="0"/>
        <v>10.24</v>
      </c>
      <c r="D27" s="315">
        <v>10.24</v>
      </c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2:15" ht="12.75">
      <c r="B28" s="210" t="s">
        <v>202</v>
      </c>
      <c r="C28" s="318">
        <f t="shared" si="0"/>
        <v>13.01</v>
      </c>
      <c r="D28" s="315">
        <v>13.01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2:15" ht="12.75">
      <c r="B29" s="210" t="s">
        <v>207</v>
      </c>
      <c r="C29" s="318">
        <f t="shared" si="0"/>
        <v>26.25</v>
      </c>
      <c r="D29" s="315">
        <v>26.25</v>
      </c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2:15" ht="12.75">
      <c r="B30" s="210" t="s">
        <v>251</v>
      </c>
      <c r="C30" s="318">
        <f t="shared" si="0"/>
        <v>2.62</v>
      </c>
      <c r="D30" s="315">
        <v>2.62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2:15" ht="12.75">
      <c r="B31" s="210" t="s">
        <v>208</v>
      </c>
      <c r="C31" s="318">
        <f t="shared" si="0"/>
        <v>5.01</v>
      </c>
      <c r="D31" s="315">
        <v>5.01</v>
      </c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2:15" ht="12.75">
      <c r="B32" s="210" t="s">
        <v>310</v>
      </c>
      <c r="C32" s="318">
        <f t="shared" si="0"/>
        <v>0.48</v>
      </c>
      <c r="D32" s="315">
        <v>0.48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4" spans="2:5" ht="12.75">
      <c r="B34" s="565" t="s">
        <v>297</v>
      </c>
      <c r="C34" s="566"/>
      <c r="D34" s="567">
        <f>Stammdaten!C26</f>
        <v>0</v>
      </c>
      <c r="E34" s="210" t="s">
        <v>22</v>
      </c>
    </row>
    <row r="35" spans="2:12" ht="12.75">
      <c r="B35" s="565" t="s">
        <v>298</v>
      </c>
      <c r="C35" s="566"/>
      <c r="D35" s="567">
        <f>Stammdaten!C27</f>
        <v>0</v>
      </c>
      <c r="E35" s="210" t="s">
        <v>22</v>
      </c>
      <c r="L35" s="333"/>
    </row>
    <row r="36" spans="2:5" ht="12.75">
      <c r="B36" s="210" t="s">
        <v>300</v>
      </c>
      <c r="D36" s="572">
        <f>SUM(Lohnkonto!D9:Lohnkonto!O9)-(Gehaltsabrechnung!G14+Gehaltsabrechnung!G15+Gehaltsabrechnung!G16)</f>
        <v>0</v>
      </c>
      <c r="E36" s="210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defaultGridColor="0" zoomScalePageLayoutView="0" colorId="46" workbookViewId="0" topLeftCell="A10">
      <selection activeCell="D31" sqref="D31"/>
    </sheetView>
  </sheetViews>
  <sheetFormatPr defaultColWidth="15.8515625" defaultRowHeight="12.75"/>
  <cols>
    <col min="1" max="1" width="3.8515625" style="359" customWidth="1"/>
    <col min="2" max="2" width="9.7109375" style="359" customWidth="1"/>
    <col min="3" max="3" width="19.00390625" style="359" customWidth="1"/>
    <col min="4" max="4" width="8.140625" style="359" customWidth="1"/>
    <col min="5" max="5" width="11.421875" style="362" customWidth="1"/>
    <col min="6" max="6" width="12.28125" style="359" customWidth="1"/>
    <col min="7" max="7" width="15.57421875" style="363" customWidth="1"/>
    <col min="8" max="8" width="11.00390625" style="359" customWidth="1"/>
    <col min="9" max="9" width="7.57421875" style="359" customWidth="1"/>
    <col min="10" max="16384" width="15.8515625" style="359" customWidth="1"/>
  </cols>
  <sheetData>
    <row r="1" spans="2:8" ht="32.25" customHeight="1">
      <c r="B1" s="642" t="s">
        <v>317</v>
      </c>
      <c r="C1" s="643"/>
      <c r="D1" s="643"/>
      <c r="E1" s="357"/>
      <c r="F1" s="357"/>
      <c r="G1" s="358"/>
      <c r="H1" s="357"/>
    </row>
    <row r="2" spans="2:10" ht="13.5">
      <c r="B2" s="359" t="s">
        <v>161</v>
      </c>
      <c r="C2" s="360" t="s">
        <v>66</v>
      </c>
      <c r="D2" s="361"/>
      <c r="I2" s="304"/>
      <c r="J2" s="364" t="s">
        <v>210</v>
      </c>
    </row>
    <row r="3" spans="2:10" ht="12.75">
      <c r="B3" s="365" t="s">
        <v>122</v>
      </c>
      <c r="C3" s="366" t="str">
        <f>Stammdaten!B6</f>
        <v>Mustermann, Hans</v>
      </c>
      <c r="J3" s="367" t="s">
        <v>182</v>
      </c>
    </row>
    <row r="4" spans="2:7" ht="12.75">
      <c r="B4" s="368" t="s">
        <v>123</v>
      </c>
      <c r="C4" s="369" t="str">
        <f>Stammdaten!B7</f>
        <v>Hauptstrasse 23</v>
      </c>
      <c r="D4" s="370"/>
      <c r="E4" s="477"/>
      <c r="F4" s="478"/>
      <c r="G4" s="478"/>
    </row>
    <row r="5" spans="2:10" ht="12.75">
      <c r="B5" s="368" t="s">
        <v>124</v>
      </c>
      <c r="C5" s="369" t="str">
        <f>Stammdaten!B8</f>
        <v>10062 Berlin</v>
      </c>
      <c r="D5" s="370"/>
      <c r="E5" s="478"/>
      <c r="F5" s="478"/>
      <c r="G5" s="478"/>
      <c r="I5" s="371" t="s">
        <v>186</v>
      </c>
      <c r="J5" s="359" t="s">
        <v>183</v>
      </c>
    </row>
    <row r="6" spans="2:10" ht="12.75">
      <c r="B6" s="372" t="s">
        <v>216</v>
      </c>
      <c r="C6" s="373">
        <f ca="1">TODAY()</f>
        <v>43826</v>
      </c>
      <c r="D6" s="370"/>
      <c r="E6" s="192"/>
      <c r="F6" s="359" t="s">
        <v>178</v>
      </c>
      <c r="G6" s="374">
        <f>Stammdaten!$C$23</f>
        <v>24939</v>
      </c>
      <c r="I6" s="375" t="s">
        <v>186</v>
      </c>
      <c r="J6" s="376" t="s">
        <v>184</v>
      </c>
    </row>
    <row r="7" spans="2:10" ht="12.75">
      <c r="B7" s="368"/>
      <c r="C7" s="377" t="s">
        <v>125</v>
      </c>
      <c r="D7" s="370"/>
      <c r="E7" s="378">
        <f>Stammdaten!$C$15</f>
        <v>0</v>
      </c>
      <c r="F7" s="379" t="s">
        <v>282</v>
      </c>
      <c r="G7" s="380" t="str">
        <f>IF(Stammdaten!$C$20=1,"ja","nein")</f>
        <v>nein</v>
      </c>
      <c r="J7" s="376" t="s">
        <v>185</v>
      </c>
    </row>
    <row r="8" spans="2:10" ht="12.75">
      <c r="B8" s="368"/>
      <c r="C8" s="377" t="s">
        <v>284</v>
      </c>
      <c r="D8" s="370"/>
      <c r="E8" s="381" t="str">
        <f>IF(Stammdaten!$C$21=1,"ja","nein")</f>
        <v>nein</v>
      </c>
      <c r="F8" s="379" t="s">
        <v>283</v>
      </c>
      <c r="G8" s="380" t="str">
        <f>IF(Stammdaten!$C$22=1,"ja","nein")</f>
        <v>nein</v>
      </c>
      <c r="J8" s="376" t="s">
        <v>217</v>
      </c>
    </row>
    <row r="9" spans="2:10" ht="12.75">
      <c r="B9" s="368"/>
      <c r="C9" s="377" t="s">
        <v>126</v>
      </c>
      <c r="D9" s="370"/>
      <c r="E9" s="563">
        <f>Stammdaten!$C$26</f>
        <v>0</v>
      </c>
      <c r="F9" s="382" t="s">
        <v>138</v>
      </c>
      <c r="G9" s="383">
        <v>0</v>
      </c>
      <c r="I9" s="371" t="s">
        <v>186</v>
      </c>
      <c r="J9" s="503" t="s">
        <v>302</v>
      </c>
    </row>
    <row r="10" spans="2:10" ht="12.75">
      <c r="B10" s="368"/>
      <c r="C10" s="377" t="s">
        <v>42</v>
      </c>
      <c r="D10" s="370"/>
      <c r="E10" s="563">
        <f>Stammdaten!$C$27</f>
        <v>0</v>
      </c>
      <c r="F10" s="384" t="s">
        <v>139</v>
      </c>
      <c r="G10" s="385">
        <v>30</v>
      </c>
      <c r="J10" s="503" t="s">
        <v>303</v>
      </c>
    </row>
    <row r="11" spans="2:10" ht="12.75">
      <c r="B11" s="386"/>
      <c r="C11" s="386"/>
      <c r="D11" s="386"/>
      <c r="E11" s="387"/>
      <c r="F11" s="386"/>
      <c r="G11" s="388"/>
      <c r="H11" s="376"/>
      <c r="I11" s="371" t="s">
        <v>186</v>
      </c>
      <c r="J11" s="365" t="s">
        <v>287</v>
      </c>
    </row>
    <row r="12" spans="2:10" ht="12.75">
      <c r="B12" s="389"/>
      <c r="E12" s="489" t="s">
        <v>253</v>
      </c>
      <c r="F12" s="489" t="s">
        <v>252</v>
      </c>
      <c r="G12" s="488"/>
      <c r="H12" s="376"/>
      <c r="J12" s="365" t="s">
        <v>288</v>
      </c>
    </row>
    <row r="13" spans="2:10" ht="12.75">
      <c r="B13" s="390"/>
      <c r="C13" s="472" t="s">
        <v>254</v>
      </c>
      <c r="D13" s="392"/>
      <c r="E13" s="466">
        <v>0.8888888888888891</v>
      </c>
      <c r="F13" s="394">
        <f>Stammdaten!$H$17</f>
        <v>20</v>
      </c>
      <c r="G13" s="394">
        <f>$E$13*$F$13*24</f>
        <v>426.66666666666674</v>
      </c>
      <c r="H13" s="376"/>
      <c r="I13" s="371" t="s">
        <v>186</v>
      </c>
      <c r="J13" s="502" t="s">
        <v>289</v>
      </c>
    </row>
    <row r="14" spans="2:10" ht="12.75">
      <c r="B14" s="390"/>
      <c r="C14" s="391" t="s">
        <v>171</v>
      </c>
      <c r="D14" s="393"/>
      <c r="E14" s="393"/>
      <c r="F14" s="376"/>
      <c r="G14" s="354">
        <v>0</v>
      </c>
      <c r="H14" s="376"/>
      <c r="J14" s="365" t="s">
        <v>290</v>
      </c>
    </row>
    <row r="15" spans="2:10" ht="12.75">
      <c r="B15" s="390"/>
      <c r="C15" s="391" t="s">
        <v>172</v>
      </c>
      <c r="D15" s="393"/>
      <c r="E15" s="393"/>
      <c r="F15" s="376"/>
      <c r="G15" s="355">
        <v>0</v>
      </c>
      <c r="H15" s="569"/>
      <c r="I15" s="371" t="s">
        <v>186</v>
      </c>
      <c r="J15" s="365" t="s">
        <v>291</v>
      </c>
    </row>
    <row r="16" spans="2:10" ht="12.75">
      <c r="B16" s="390"/>
      <c r="C16" s="391" t="s">
        <v>173</v>
      </c>
      <c r="D16" s="376"/>
      <c r="E16" s="393"/>
      <c r="F16" s="393"/>
      <c r="G16" s="355">
        <v>0</v>
      </c>
      <c r="H16" s="568"/>
      <c r="J16" s="365" t="s">
        <v>292</v>
      </c>
    </row>
    <row r="17" spans="2:8" ht="12.75">
      <c r="B17" s="390"/>
      <c r="C17" s="395"/>
      <c r="D17" s="396" t="s">
        <v>143</v>
      </c>
      <c r="E17" s="396" t="s">
        <v>144</v>
      </c>
      <c r="F17" s="376"/>
      <c r="G17" s="397"/>
      <c r="H17" s="376"/>
    </row>
    <row r="18" spans="2:12" ht="12.75">
      <c r="B18" s="390"/>
      <c r="C18" s="398" t="str">
        <f>"- "&amp;Stammdaten!$F$23</f>
        <v>- Sonderschicht I</v>
      </c>
      <c r="D18" s="483">
        <v>0</v>
      </c>
      <c r="E18" s="399">
        <f>Stammdaten!$H$24</f>
        <v>0</v>
      </c>
      <c r="F18" s="376"/>
      <c r="G18" s="400">
        <f>D18*E18*24</f>
        <v>0</v>
      </c>
      <c r="H18" s="376"/>
      <c r="J18" s="365"/>
      <c r="L18" s="571"/>
    </row>
    <row r="19" spans="2:12" ht="12.75">
      <c r="B19" s="390"/>
      <c r="C19" s="368" t="str">
        <f>"- "&amp;Stammdaten!$G$24</f>
        <v>- Sonderschicht II</v>
      </c>
      <c r="D19" s="468">
        <v>0</v>
      </c>
      <c r="E19" s="399">
        <f>Stammdaten!$H$23</f>
        <v>0</v>
      </c>
      <c r="F19" s="376"/>
      <c r="G19" s="400">
        <f>D19*E19*24</f>
        <v>0</v>
      </c>
      <c r="H19" s="376"/>
      <c r="I19" s="368"/>
      <c r="J19" s="365"/>
      <c r="L19" s="570"/>
    </row>
    <row r="20" spans="2:9" ht="12.75">
      <c r="B20" s="390"/>
      <c r="C20" s="398" t="str">
        <f>"- "&amp;Stammdaten!$G$21</f>
        <v>- Samstagarbeit</v>
      </c>
      <c r="D20" s="469">
        <v>0</v>
      </c>
      <c r="E20" s="399">
        <f>Stammdaten!$H$21</f>
        <v>0</v>
      </c>
      <c r="F20" s="376"/>
      <c r="G20" s="400">
        <f>D20*E20*24</f>
        <v>0</v>
      </c>
      <c r="H20" s="376"/>
      <c r="I20" s="368"/>
    </row>
    <row r="21" spans="2:9" ht="12.75">
      <c r="B21" s="390"/>
      <c r="C21" s="398" t="s">
        <v>145</v>
      </c>
      <c r="D21" s="471">
        <v>0</v>
      </c>
      <c r="E21" s="500">
        <v>0</v>
      </c>
      <c r="F21" s="376"/>
      <c r="G21" s="400">
        <f>D21*E21*24</f>
        <v>0</v>
      </c>
      <c r="H21" s="376"/>
      <c r="I21" s="368"/>
    </row>
    <row r="22" spans="2:11" ht="12.75">
      <c r="B22" s="390"/>
      <c r="C22" s="398" t="s">
        <v>299</v>
      </c>
      <c r="D22" s="401"/>
      <c r="E22" s="402"/>
      <c r="F22" s="376"/>
      <c r="G22" s="501">
        <f>D22*E22*24</f>
        <v>0</v>
      </c>
      <c r="H22" s="376"/>
      <c r="I22" s="368"/>
      <c r="J22" s="401"/>
      <c r="K22" s="402"/>
    </row>
    <row r="23" spans="2:8" ht="19.5" customHeight="1">
      <c r="B23" s="390"/>
      <c r="C23" s="401" t="s">
        <v>141</v>
      </c>
      <c r="D23" s="639"/>
      <c r="E23" s="640"/>
      <c r="F23" s="641"/>
      <c r="G23" s="403">
        <f>SUM(G13:G21)</f>
        <v>426.66666666666674</v>
      </c>
      <c r="H23" s="376"/>
    </row>
    <row r="24" spans="2:8" ht="12.75">
      <c r="B24" s="404"/>
      <c r="C24" s="644" t="s">
        <v>318</v>
      </c>
      <c r="D24" s="645"/>
      <c r="E24" s="645"/>
      <c r="F24" s="645"/>
      <c r="G24" s="405"/>
      <c r="H24" s="376"/>
    </row>
    <row r="25" spans="2:8" ht="12.75">
      <c r="B25" s="389"/>
      <c r="C25" s="406"/>
      <c r="D25" s="406"/>
      <c r="E25" s="407"/>
      <c r="F25" s="406"/>
      <c r="G25" s="408"/>
      <c r="H25" s="376"/>
    </row>
    <row r="26" spans="2:8" ht="12.75">
      <c r="B26" s="390"/>
      <c r="C26" s="368" t="s">
        <v>285</v>
      </c>
      <c r="D26" s="410">
        <f>Stammdaten!C12</f>
        <v>1</v>
      </c>
      <c r="E26" s="646" t="s">
        <v>294</v>
      </c>
      <c r="F26" s="647"/>
      <c r="G26" s="412">
        <v>0</v>
      </c>
      <c r="H26" s="376"/>
    </row>
    <row r="27" spans="2:8" ht="12.75">
      <c r="B27" s="390"/>
      <c r="C27" s="409" t="s">
        <v>28</v>
      </c>
      <c r="D27" s="410">
        <f>Stammdaten!C16</f>
        <v>9</v>
      </c>
      <c r="E27" s="413" t="s">
        <v>127</v>
      </c>
      <c r="F27" s="414"/>
      <c r="G27" s="415">
        <v>0</v>
      </c>
      <c r="H27" s="376"/>
    </row>
    <row r="28" spans="2:8" ht="12.75">
      <c r="B28" s="390"/>
      <c r="C28" s="409" t="s">
        <v>27</v>
      </c>
      <c r="D28" s="409"/>
      <c r="E28" s="411"/>
      <c r="F28" s="409"/>
      <c r="G28" s="415">
        <v>0</v>
      </c>
      <c r="H28" s="376"/>
    </row>
    <row r="29" spans="2:8" ht="12.75">
      <c r="B29" s="390"/>
      <c r="C29" s="416"/>
      <c r="D29" s="13" t="str">
        <f>IF(Stammdaten!C17&lt;20,Stammdaten!C17/2+Stammdaten!C18/2&amp;"% Krankenkassenbeitrag","Eigenanteil PKV")</f>
        <v>7,85% Krankenkassenbeitrag</v>
      </c>
      <c r="E29" s="417"/>
      <c r="F29" s="418"/>
      <c r="G29" s="415">
        <v>57.88</v>
      </c>
      <c r="H29" s="376"/>
    </row>
    <row r="30" spans="2:8" ht="12.75">
      <c r="B30" s="390"/>
      <c r="C30" s="409"/>
      <c r="D30" s="368" t="s">
        <v>319</v>
      </c>
      <c r="E30" s="411"/>
      <c r="F30" s="409"/>
      <c r="G30" s="415">
        <v>8.84</v>
      </c>
      <c r="H30" s="376"/>
    </row>
    <row r="31" spans="2:8" ht="12.75">
      <c r="B31" s="390"/>
      <c r="C31" s="409"/>
      <c r="D31" s="368" t="s">
        <v>307</v>
      </c>
      <c r="E31" s="411"/>
      <c r="F31" s="409"/>
      <c r="G31" s="415">
        <v>68.58</v>
      </c>
      <c r="H31" s="376"/>
    </row>
    <row r="32" spans="2:8" ht="12.75">
      <c r="B32" s="390"/>
      <c r="C32" s="409"/>
      <c r="D32" s="409" t="str">
        <f>IF(Stammdaten!C22=1,2.025,1.525)+IF(Stammdaten!C20=1,0.25,0)&amp;"% Pflegeversicherung"</f>
        <v>1,525% Pflegeversicherung</v>
      </c>
      <c r="E32" s="411"/>
      <c r="F32" s="409"/>
      <c r="G32" s="415">
        <v>11.25</v>
      </c>
      <c r="H32" s="376"/>
    </row>
    <row r="33" spans="2:8" ht="12.75">
      <c r="B33" s="390"/>
      <c r="C33" s="419" t="s">
        <v>128</v>
      </c>
      <c r="D33" s="419"/>
      <c r="E33" s="420"/>
      <c r="F33" s="419"/>
      <c r="G33" s="356">
        <v>0</v>
      </c>
      <c r="H33" s="376"/>
    </row>
    <row r="34" spans="2:8" ht="12.75">
      <c r="B34" s="390"/>
      <c r="C34" s="401" t="s">
        <v>129</v>
      </c>
      <c r="D34" s="479"/>
      <c r="E34" s="402"/>
      <c r="F34" s="401"/>
      <c r="G34" s="421">
        <f>SUM(G26:G33)</f>
        <v>146.55</v>
      </c>
      <c r="H34" s="376"/>
    </row>
    <row r="35" spans="2:8" ht="12.75">
      <c r="B35" s="404"/>
      <c r="C35" s="419"/>
      <c r="D35" s="419"/>
      <c r="E35" s="420"/>
      <c r="F35" s="419"/>
      <c r="G35" s="405"/>
      <c r="H35" s="376"/>
    </row>
    <row r="36" spans="2:8" ht="12.75">
      <c r="B36" s="389"/>
      <c r="C36" s="422"/>
      <c r="D36" s="422"/>
      <c r="E36" s="423"/>
      <c r="F36" s="422"/>
      <c r="G36" s="408"/>
      <c r="H36" s="376"/>
    </row>
    <row r="37" spans="2:8" ht="12.75">
      <c r="B37" s="390"/>
      <c r="C37" s="395" t="s">
        <v>150</v>
      </c>
      <c r="D37" s="396" t="s">
        <v>143</v>
      </c>
      <c r="E37" s="424" t="s">
        <v>144</v>
      </c>
      <c r="F37" s="395"/>
      <c r="G37" s="425"/>
      <c r="H37" s="376"/>
    </row>
    <row r="38" spans="2:8" ht="12.75">
      <c r="B38" s="390"/>
      <c r="C38" s="368" t="s">
        <v>142</v>
      </c>
      <c r="D38" s="467">
        <v>0.16666666666666652</v>
      </c>
      <c r="E38" s="426">
        <f>Stammdaten!$H$22</f>
        <v>2.98</v>
      </c>
      <c r="F38" s="427"/>
      <c r="G38" s="428">
        <f>D38*24*E38</f>
        <v>11.91999999999999</v>
      </c>
      <c r="H38" s="376"/>
    </row>
    <row r="39" spans="2:8" ht="12.75">
      <c r="B39" s="390"/>
      <c r="C39" s="368" t="s">
        <v>120</v>
      </c>
      <c r="D39" s="468">
        <v>0</v>
      </c>
      <c r="E39" s="429">
        <f>Stammdaten!$H$20</f>
        <v>0</v>
      </c>
      <c r="F39" s="430"/>
      <c r="G39" s="428">
        <f>D39*24*E39</f>
        <v>0</v>
      </c>
      <c r="H39" s="376"/>
    </row>
    <row r="40" spans="2:8" ht="12.75">
      <c r="B40" s="390"/>
      <c r="C40" s="368" t="s">
        <v>115</v>
      </c>
      <c r="D40" s="469">
        <v>0</v>
      </c>
      <c r="E40" s="399">
        <f>Stammdaten!$H$19</f>
        <v>28.5</v>
      </c>
      <c r="F40" s="430"/>
      <c r="G40" s="428">
        <f>D40*24*E40</f>
        <v>0</v>
      </c>
      <c r="H40" s="376"/>
    </row>
    <row r="41" spans="2:8" ht="12.75">
      <c r="B41" s="390"/>
      <c r="C41" s="431" t="s">
        <v>151</v>
      </c>
      <c r="D41" s="471">
        <v>0</v>
      </c>
      <c r="E41" s="470">
        <v>0</v>
      </c>
      <c r="F41" s="432"/>
      <c r="G41" s="400">
        <f>D41*24*E41</f>
        <v>0</v>
      </c>
      <c r="H41" s="376"/>
    </row>
    <row r="42" spans="2:8" ht="12.75">
      <c r="B42" s="390"/>
      <c r="C42" s="409" t="s">
        <v>130</v>
      </c>
      <c r="D42" s="409"/>
      <c r="E42" s="411"/>
      <c r="F42" s="409"/>
      <c r="G42" s="474">
        <f>SUM(G38:G40)</f>
        <v>11.91999999999999</v>
      </c>
      <c r="H42" s="376"/>
    </row>
    <row r="43" spans="2:8" ht="12.75">
      <c r="B43" s="390"/>
      <c r="C43" s="409"/>
      <c r="D43" s="409"/>
      <c r="E43" s="411"/>
      <c r="F43" s="409"/>
      <c r="G43" s="433"/>
      <c r="H43" s="376"/>
    </row>
    <row r="44" spans="2:8" ht="12.75">
      <c r="B44" s="390"/>
      <c r="C44" s="409" t="s">
        <v>131</v>
      </c>
      <c r="D44" s="409"/>
      <c r="E44" s="411"/>
      <c r="F44" s="409"/>
      <c r="G44" s="356">
        <v>0</v>
      </c>
      <c r="H44" s="376"/>
    </row>
    <row r="45" spans="2:8" ht="12.75">
      <c r="B45" s="390"/>
      <c r="C45" s="409" t="s">
        <v>132</v>
      </c>
      <c r="D45" s="409"/>
      <c r="E45" s="411"/>
      <c r="F45" s="409"/>
      <c r="G45" s="356">
        <v>0</v>
      </c>
      <c r="H45" s="376"/>
    </row>
    <row r="46" spans="2:8" ht="12.75">
      <c r="B46" s="390"/>
      <c r="C46" s="368" t="s">
        <v>286</v>
      </c>
      <c r="D46" s="409"/>
      <c r="E46" s="411"/>
      <c r="F46" s="409"/>
      <c r="G46" s="356">
        <v>0</v>
      </c>
      <c r="H46" s="376"/>
    </row>
    <row r="47" spans="2:8" ht="12.75">
      <c r="B47" s="390"/>
      <c r="C47" s="368" t="s">
        <v>293</v>
      </c>
      <c r="D47" s="409"/>
      <c r="E47" s="411"/>
      <c r="F47" s="409"/>
      <c r="G47" s="356">
        <v>0</v>
      </c>
      <c r="H47" s="376"/>
    </row>
    <row r="48" spans="2:8" ht="12.75">
      <c r="B48" s="390"/>
      <c r="C48" s="409"/>
      <c r="D48" s="409"/>
      <c r="E48" s="411"/>
      <c r="F48" s="409"/>
      <c r="G48" s="433"/>
      <c r="H48" s="376"/>
    </row>
    <row r="49" spans="2:8" ht="12.75">
      <c r="B49" s="390"/>
      <c r="C49" s="401" t="s">
        <v>147</v>
      </c>
      <c r="D49" s="401"/>
      <c r="E49" s="402"/>
      <c r="F49" s="401"/>
      <c r="G49" s="475">
        <f>SUM(G42:G47)</f>
        <v>11.91999999999999</v>
      </c>
      <c r="H49" s="376"/>
    </row>
    <row r="50" spans="2:8" ht="12.75">
      <c r="B50" s="404"/>
      <c r="C50" s="419"/>
      <c r="D50" s="419"/>
      <c r="E50" s="420"/>
      <c r="F50" s="419"/>
      <c r="G50" s="405"/>
      <c r="H50" s="376"/>
    </row>
    <row r="51" spans="2:8" ht="12.75">
      <c r="B51" s="376"/>
      <c r="C51" s="434"/>
      <c r="D51" s="434"/>
      <c r="E51" s="435"/>
      <c r="F51" s="434"/>
      <c r="G51" s="436"/>
      <c r="H51" s="376"/>
    </row>
    <row r="52" spans="2:8" ht="12.75">
      <c r="B52" s="376"/>
      <c r="C52" s="434" t="s">
        <v>133</v>
      </c>
      <c r="D52" s="434"/>
      <c r="E52" s="435"/>
      <c r="F52" s="434"/>
      <c r="G52" s="476">
        <v>718.7</v>
      </c>
      <c r="H52" s="376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37"/>
      <c r="C54" s="438"/>
      <c r="D54" s="438"/>
      <c r="E54" s="438"/>
      <c r="F54" s="439"/>
      <c r="G54" s="440"/>
      <c r="H54" s="365"/>
      <c r="I54" s="4"/>
    </row>
    <row r="55" spans="2:8" s="4" customFormat="1" ht="12.75">
      <c r="B55" s="365"/>
      <c r="C55" s="441"/>
      <c r="H55" s="364"/>
    </row>
    <row r="56" spans="2:9" s="4" customFormat="1" ht="12.75">
      <c r="B56" s="442"/>
      <c r="C56" s="441"/>
      <c r="I56" s="359"/>
    </row>
    <row r="57" spans="2:8" ht="12.75">
      <c r="B57" s="635" t="s">
        <v>146</v>
      </c>
      <c r="C57" s="636"/>
      <c r="D57" s="637" t="s">
        <v>134</v>
      </c>
      <c r="E57" s="638"/>
      <c r="F57" s="638"/>
      <c r="G57" s="638"/>
      <c r="H57" s="365"/>
    </row>
    <row r="58" spans="2:7" ht="11.25" customHeight="1">
      <c r="B58" s="443"/>
      <c r="C58" s="443"/>
      <c r="D58" s="443"/>
      <c r="E58" s="444"/>
      <c r="F58" s="443"/>
      <c r="G58" s="359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52" operator="lessThan" stopIfTrue="1">
      <formula>0</formula>
    </cfRule>
    <cfRule type="cellIs" priority="8" dxfId="253" operator="greaterThan" stopIfTrue="1">
      <formula>0</formula>
    </cfRule>
  </conditionalFormatting>
  <conditionalFormatting sqref="C31">
    <cfRule type="cellIs" priority="9" dxfId="252" operator="lessThan" stopIfTrue="1">
      <formula>0</formula>
    </cfRule>
    <cfRule type="cellIs" priority="10" dxfId="251" operator="notEqual" stopIfTrue="1">
      <formula>0</formula>
    </cfRule>
  </conditionalFormatting>
  <conditionalFormatting sqref="H62:L62">
    <cfRule type="cellIs" priority="11" dxfId="250" operator="equal" stopIfTrue="1">
      <formula>0</formula>
    </cfRule>
  </conditionalFormatting>
  <conditionalFormatting sqref="K8:K11 J8">
    <cfRule type="cellIs" priority="12" dxfId="249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60"/>
  <sheetViews>
    <sheetView defaultGridColor="0" zoomScalePageLayoutView="0" colorId="22" workbookViewId="0" topLeftCell="A13">
      <selection activeCell="D11" sqref="D1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Januar "&amp;gewJahr</f>
        <v>Arbeitszeitachweis Januar 2020</v>
      </c>
      <c r="C2" s="447"/>
      <c r="D2" s="446"/>
      <c r="E2" s="446"/>
      <c r="F2" s="446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5.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4">
        <f>DATE(gewJahr,1,1)</f>
        <v>43831</v>
      </c>
      <c r="C8" s="195">
        <f aca="true" t="shared" si="0" ref="C8:C38">WEEKDAY(B8)</f>
        <v>4</v>
      </c>
      <c r="D8" s="276">
        <v>0</v>
      </c>
      <c r="E8" s="276">
        <v>0</v>
      </c>
      <c r="F8" s="277">
        <f>MAX(IF(D8&lt;=E8,E8-D8,"24:00"-D8+E8)-G8,0)</f>
        <v>0</v>
      </c>
      <c r="G8" s="276">
        <v>0</v>
      </c>
      <c r="H8" s="276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43832</v>
      </c>
      <c r="C9" s="199">
        <f t="shared" si="0"/>
        <v>5</v>
      </c>
      <c r="D9" s="278">
        <v>0.4861111111111111</v>
      </c>
      <c r="E9" s="278">
        <v>0.9166666666666666</v>
      </c>
      <c r="F9" s="268">
        <f>MAX(IF(D9&lt;=E9,E9-D9,"24:00"-D9+E9)-G9,0)</f>
        <v>0.4305555555555555</v>
      </c>
      <c r="G9" s="278"/>
      <c r="H9" s="269">
        <f>IF(F9-I9&gt;0,F9-I9,0)</f>
        <v>0.34722222222222227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0.08333333333333326</v>
      </c>
      <c r="J9" s="197"/>
      <c r="K9" s="208"/>
      <c r="L9" s="208"/>
      <c r="M9" s="208"/>
      <c r="N9" s="208"/>
      <c r="O9" s="207"/>
    </row>
    <row r="10" spans="1:15" s="210" customFormat="1" ht="9.75">
      <c r="A10" s="207"/>
      <c r="B10" s="198">
        <f aca="true" t="shared" si="1" ref="B10:B38">B9+1</f>
        <v>43833</v>
      </c>
      <c r="C10" s="199">
        <f t="shared" si="0"/>
        <v>6</v>
      </c>
      <c r="D10" s="278">
        <v>0.2916666666666667</v>
      </c>
      <c r="E10" s="278">
        <v>0.9166666666666666</v>
      </c>
      <c r="F10" s="268">
        <f aca="true" t="shared" si="2" ref="F10:F38">MAX(IF(D10&lt;=E10,E10-D10,"24:00"-D10+E10)-G10,0)</f>
        <v>0.625</v>
      </c>
      <c r="G10" s="278"/>
      <c r="H10" s="269">
        <f>IF(F10-I10&gt;0,F10-I10,0)</f>
        <v>0.5416666666666667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0.08333333333333326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1"/>
        <v>43834</v>
      </c>
      <c r="C11" s="199">
        <f t="shared" si="0"/>
        <v>7</v>
      </c>
      <c r="D11" s="278">
        <v>0</v>
      </c>
      <c r="E11" s="278">
        <v>0</v>
      </c>
      <c r="F11" s="268">
        <f t="shared" si="2"/>
        <v>0</v>
      </c>
      <c r="G11" s="278"/>
      <c r="H11" s="269">
        <f>IF(F11-I11&gt;0,F11-I11,0)</f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1"/>
        <v>43835</v>
      </c>
      <c r="C12" s="199">
        <f t="shared" si="0"/>
        <v>1</v>
      </c>
      <c r="D12" s="278">
        <v>0</v>
      </c>
      <c r="E12" s="278">
        <v>0</v>
      </c>
      <c r="F12" s="268">
        <f t="shared" si="2"/>
        <v>0</v>
      </c>
      <c r="G12" s="278"/>
      <c r="H12" s="269">
        <f>IF(F12-I12&gt;0,F12-I12,0)</f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>B12+1</f>
        <v>43836</v>
      </c>
      <c r="C13" s="199">
        <f t="shared" si="0"/>
        <v>2</v>
      </c>
      <c r="D13" s="279">
        <v>0</v>
      </c>
      <c r="E13" s="279">
        <v>0</v>
      </c>
      <c r="F13" s="268">
        <f t="shared" si="2"/>
        <v>0</v>
      </c>
      <c r="G13" s="280"/>
      <c r="H13" s="269">
        <f aca="true" t="shared" si="3" ref="H13:H38">IF(F13-I13&gt;0,F13-I13,0)</f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1"/>
        <v>43837</v>
      </c>
      <c r="C14" s="199">
        <f t="shared" si="0"/>
        <v>3</v>
      </c>
      <c r="D14" s="278">
        <v>0</v>
      </c>
      <c r="E14" s="278">
        <v>0</v>
      </c>
      <c r="F14" s="268">
        <f t="shared" si="2"/>
        <v>0</v>
      </c>
      <c r="G14" s="278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1"/>
        <v>43838</v>
      </c>
      <c r="C15" s="199">
        <f t="shared" si="0"/>
        <v>4</v>
      </c>
      <c r="D15" s="278">
        <v>0</v>
      </c>
      <c r="E15" s="278">
        <v>0</v>
      </c>
      <c r="F15" s="268">
        <f t="shared" si="2"/>
        <v>0</v>
      </c>
      <c r="G15" s="278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1"/>
        <v>43839</v>
      </c>
      <c r="C16" s="199">
        <f t="shared" si="0"/>
        <v>5</v>
      </c>
      <c r="D16" s="278">
        <v>0</v>
      </c>
      <c r="E16" s="278">
        <v>0</v>
      </c>
      <c r="F16" s="268">
        <f t="shared" si="2"/>
        <v>0</v>
      </c>
      <c r="G16" s="278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1"/>
        <v>43840</v>
      </c>
      <c r="C17" s="199">
        <f t="shared" si="0"/>
        <v>6</v>
      </c>
      <c r="D17" s="278">
        <v>0</v>
      </c>
      <c r="E17" s="278">
        <v>0</v>
      </c>
      <c r="F17" s="268">
        <f t="shared" si="2"/>
        <v>0</v>
      </c>
      <c r="G17" s="278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1"/>
        <v>43841</v>
      </c>
      <c r="C18" s="199">
        <f t="shared" si="0"/>
        <v>7</v>
      </c>
      <c r="D18" s="278">
        <v>0</v>
      </c>
      <c r="E18" s="278">
        <v>0</v>
      </c>
      <c r="F18" s="268">
        <f t="shared" si="2"/>
        <v>0</v>
      </c>
      <c r="G18" s="278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1"/>
        <v>43842</v>
      </c>
      <c r="C19" s="199">
        <f t="shared" si="0"/>
        <v>1</v>
      </c>
      <c r="D19" s="278">
        <v>0</v>
      </c>
      <c r="E19" s="278">
        <v>0</v>
      </c>
      <c r="F19" s="268">
        <f t="shared" si="2"/>
        <v>0</v>
      </c>
      <c r="G19" s="278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1"/>
        <v>43843</v>
      </c>
      <c r="C20" s="199">
        <f t="shared" si="0"/>
        <v>2</v>
      </c>
      <c r="D20" s="278">
        <v>0</v>
      </c>
      <c r="E20" s="278">
        <v>0</v>
      </c>
      <c r="F20" s="268">
        <f t="shared" si="2"/>
        <v>0</v>
      </c>
      <c r="G20" s="278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1"/>
        <v>43844</v>
      </c>
      <c r="C21" s="199">
        <f t="shared" si="0"/>
        <v>3</v>
      </c>
      <c r="D21" s="278">
        <v>0</v>
      </c>
      <c r="E21" s="278">
        <v>0</v>
      </c>
      <c r="F21" s="268">
        <f t="shared" si="2"/>
        <v>0</v>
      </c>
      <c r="G21" s="278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1"/>
        <v>43845</v>
      </c>
      <c r="C22" s="199">
        <f t="shared" si="0"/>
        <v>4</v>
      </c>
      <c r="D22" s="278">
        <v>0</v>
      </c>
      <c r="E22" s="278">
        <v>0</v>
      </c>
      <c r="F22" s="268">
        <f t="shared" si="2"/>
        <v>0</v>
      </c>
      <c r="G22" s="278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1"/>
        <v>43846</v>
      </c>
      <c r="C23" s="199">
        <f t="shared" si="0"/>
        <v>5</v>
      </c>
      <c r="D23" s="278">
        <v>0</v>
      </c>
      <c r="E23" s="278">
        <v>0</v>
      </c>
      <c r="F23" s="268">
        <f t="shared" si="2"/>
        <v>0</v>
      </c>
      <c r="G23" s="278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1"/>
        <v>43847</v>
      </c>
      <c r="C24" s="199">
        <f t="shared" si="0"/>
        <v>6</v>
      </c>
      <c r="D24" s="278">
        <v>0</v>
      </c>
      <c r="E24" s="278">
        <v>0</v>
      </c>
      <c r="F24" s="268">
        <f t="shared" si="2"/>
        <v>0</v>
      </c>
      <c r="G24" s="278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1"/>
        <v>43848</v>
      </c>
      <c r="C25" s="199">
        <f t="shared" si="0"/>
        <v>7</v>
      </c>
      <c r="D25" s="278">
        <v>0</v>
      </c>
      <c r="E25" s="278">
        <v>0</v>
      </c>
      <c r="F25" s="268">
        <f t="shared" si="2"/>
        <v>0</v>
      </c>
      <c r="G25" s="278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1"/>
        <v>43849</v>
      </c>
      <c r="C26" s="199">
        <f t="shared" si="0"/>
        <v>1</v>
      </c>
      <c r="D26" s="278">
        <v>0</v>
      </c>
      <c r="E26" s="278">
        <v>0</v>
      </c>
      <c r="F26" s="268">
        <f t="shared" si="2"/>
        <v>0</v>
      </c>
      <c r="G26" s="278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1"/>
        <v>43850</v>
      </c>
      <c r="C27" s="199">
        <f t="shared" si="0"/>
        <v>2</v>
      </c>
      <c r="D27" s="278">
        <v>0</v>
      </c>
      <c r="E27" s="278">
        <v>0</v>
      </c>
      <c r="F27" s="268">
        <f t="shared" si="2"/>
        <v>0</v>
      </c>
      <c r="G27" s="278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1"/>
        <v>43851</v>
      </c>
      <c r="C28" s="199">
        <f t="shared" si="0"/>
        <v>3</v>
      </c>
      <c r="D28" s="278">
        <v>0</v>
      </c>
      <c r="E28" s="278">
        <v>0</v>
      </c>
      <c r="F28" s="268">
        <f t="shared" si="2"/>
        <v>0</v>
      </c>
      <c r="G28" s="278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1"/>
        <v>43852</v>
      </c>
      <c r="C29" s="199">
        <f t="shared" si="0"/>
        <v>4</v>
      </c>
      <c r="D29" s="278">
        <v>0</v>
      </c>
      <c r="E29" s="278">
        <v>0</v>
      </c>
      <c r="F29" s="268">
        <f t="shared" si="2"/>
        <v>0</v>
      </c>
      <c r="G29" s="278"/>
      <c r="H29" s="269">
        <f>IF(F29-I29&gt;0,F29-I29,0)</f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1"/>
        <v>43853</v>
      </c>
      <c r="C30" s="199">
        <f t="shared" si="0"/>
        <v>5</v>
      </c>
      <c r="D30" s="278">
        <v>0</v>
      </c>
      <c r="E30" s="278">
        <v>0</v>
      </c>
      <c r="F30" s="268">
        <f t="shared" si="2"/>
        <v>0</v>
      </c>
      <c r="G30" s="278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1"/>
        <v>43854</v>
      </c>
      <c r="C31" s="199">
        <f t="shared" si="0"/>
        <v>6</v>
      </c>
      <c r="D31" s="278">
        <v>0</v>
      </c>
      <c r="E31" s="278">
        <v>0</v>
      </c>
      <c r="F31" s="268">
        <f t="shared" si="2"/>
        <v>0</v>
      </c>
      <c r="G31" s="278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1"/>
        <v>43855</v>
      </c>
      <c r="C32" s="199">
        <f t="shared" si="0"/>
        <v>7</v>
      </c>
      <c r="D32" s="278">
        <v>0</v>
      </c>
      <c r="E32" s="278">
        <v>0</v>
      </c>
      <c r="F32" s="268">
        <f t="shared" si="2"/>
        <v>0</v>
      </c>
      <c r="G32" s="278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1"/>
        <v>43856</v>
      </c>
      <c r="C33" s="199">
        <f t="shared" si="0"/>
        <v>1</v>
      </c>
      <c r="D33" s="278">
        <v>0</v>
      </c>
      <c r="E33" s="278">
        <v>0</v>
      </c>
      <c r="F33" s="268">
        <f t="shared" si="2"/>
        <v>0</v>
      </c>
      <c r="G33" s="278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1"/>
        <v>43857</v>
      </c>
      <c r="C34" s="199">
        <f t="shared" si="0"/>
        <v>2</v>
      </c>
      <c r="D34" s="278">
        <v>0</v>
      </c>
      <c r="E34" s="278">
        <v>0</v>
      </c>
      <c r="F34" s="268">
        <f t="shared" si="2"/>
        <v>0</v>
      </c>
      <c r="G34" s="278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1"/>
        <v>43858</v>
      </c>
      <c r="C35" s="199">
        <f t="shared" si="0"/>
        <v>3</v>
      </c>
      <c r="D35" s="278">
        <v>0</v>
      </c>
      <c r="E35" s="278">
        <v>0</v>
      </c>
      <c r="F35" s="268">
        <f t="shared" si="2"/>
        <v>0</v>
      </c>
      <c r="G35" s="278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1"/>
        <v>43859</v>
      </c>
      <c r="C36" s="199">
        <f t="shared" si="0"/>
        <v>4</v>
      </c>
      <c r="D36" s="278">
        <v>0</v>
      </c>
      <c r="E36" s="278">
        <v>0</v>
      </c>
      <c r="F36" s="268">
        <f t="shared" si="2"/>
        <v>0</v>
      </c>
      <c r="G36" s="278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1"/>
        <v>43860</v>
      </c>
      <c r="C37" s="199">
        <f t="shared" si="0"/>
        <v>5</v>
      </c>
      <c r="D37" s="278">
        <v>0</v>
      </c>
      <c r="E37" s="278">
        <v>0</v>
      </c>
      <c r="F37" s="268">
        <f t="shared" si="2"/>
        <v>0</v>
      </c>
      <c r="G37" s="278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9.75">
      <c r="A38" s="207"/>
      <c r="B38" s="198">
        <f t="shared" si="1"/>
        <v>43861</v>
      </c>
      <c r="C38" s="199">
        <f t="shared" si="0"/>
        <v>6</v>
      </c>
      <c r="D38" s="278">
        <v>0</v>
      </c>
      <c r="E38" s="278">
        <v>0</v>
      </c>
      <c r="F38" s="268">
        <f t="shared" si="2"/>
        <v>0</v>
      </c>
      <c r="G38" s="278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.75">
      <c r="A39" s="207"/>
      <c r="B39" s="188"/>
      <c r="C39" s="188"/>
      <c r="D39" s="577" t="s">
        <v>88</v>
      </c>
      <c r="E39" s="578"/>
      <c r="F39" s="270">
        <f>SUM(F7:F38)</f>
        <v>1.0555555555555556</v>
      </c>
      <c r="G39" s="281"/>
      <c r="H39" s="270">
        <f>SUM(H8:H38)</f>
        <v>0.8888888888888891</v>
      </c>
      <c r="I39" s="272">
        <f>SUM(I8:I38)</f>
        <v>0.16666666666666652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SUM(H39,PRODUCT(SUM(J40,J42,J32),Stammdaten!H28))</f>
        <v>0.8888888888888891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2.75" customHeight="1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Stammdaten!$H$27-J40</f>
        <v>30</v>
      </c>
      <c r="K41" s="208"/>
      <c r="L41" s="208"/>
      <c r="M41" s="208"/>
      <c r="N41" s="208"/>
      <c r="O41" s="207"/>
    </row>
    <row r="42" spans="1:15" s="210" customFormat="1" ht="12.75" customHeight="1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2.75" customHeight="1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2.75" customHeight="1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0.16666666666666652</v>
      </c>
      <c r="G46" s="183"/>
      <c r="H46" s="81"/>
      <c r="I46" s="5"/>
      <c r="J46" s="5"/>
      <c r="K46" s="77"/>
      <c r="L46" s="65"/>
      <c r="M46" s="65"/>
      <c r="N46" s="65"/>
    </row>
    <row r="47" spans="1:14" ht="12.75">
      <c r="A47" s="165"/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77"/>
      <c r="L47" s="77"/>
      <c r="M47" s="77"/>
      <c r="N47" s="77"/>
    </row>
    <row r="48" spans="2:14" ht="12.75">
      <c r="B48" s="4"/>
      <c r="C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11"/>
      <c r="D50" s="653"/>
      <c r="E50" s="653"/>
      <c r="F50" s="653"/>
      <c r="G50" s="11"/>
      <c r="H50" s="77"/>
      <c r="I50" s="11"/>
      <c r="J50" s="5"/>
      <c r="K50" s="5"/>
      <c r="L50" s="4"/>
    </row>
    <row r="51" spans="2:13" ht="12.75">
      <c r="B51" s="4"/>
      <c r="C51" s="11"/>
      <c r="D51" s="653"/>
      <c r="E51" s="653"/>
      <c r="F51" s="653"/>
      <c r="G51" s="5"/>
      <c r="H51" s="103"/>
      <c r="I51" s="11"/>
      <c r="J51" s="5"/>
      <c r="K51" s="5"/>
      <c r="L51" s="4"/>
      <c r="M51" s="101"/>
    </row>
    <row r="52" spans="2:14" ht="12.75">
      <c r="B52" s="4"/>
      <c r="C52" s="5"/>
      <c r="D52" s="13"/>
      <c r="E52" s="653"/>
      <c r="F52" s="654"/>
      <c r="G52" s="654"/>
      <c r="H52" s="100"/>
      <c r="I52" s="100"/>
      <c r="J52" s="5"/>
      <c r="K52" s="5"/>
      <c r="L52" s="4"/>
      <c r="M52" s="101"/>
      <c r="N52" s="101"/>
    </row>
    <row r="53" spans="2:14" ht="12.75">
      <c r="B53" s="4"/>
      <c r="C53" s="4"/>
      <c r="D53" s="5"/>
      <c r="E53" s="653"/>
      <c r="F53" s="654"/>
      <c r="G53" s="654"/>
      <c r="H53" s="81"/>
      <c r="I53" s="5"/>
      <c r="J53" s="5"/>
      <c r="K53" s="5"/>
      <c r="L53" s="4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20">
    <mergeCell ref="B7:C7"/>
    <mergeCell ref="G41:I41"/>
    <mergeCell ref="C46:E46"/>
    <mergeCell ref="C47:E47"/>
    <mergeCell ref="C40:E40"/>
    <mergeCell ref="C41:E41"/>
    <mergeCell ref="C42:E42"/>
    <mergeCell ref="C43:E43"/>
    <mergeCell ref="C44:E44"/>
    <mergeCell ref="C45:E45"/>
    <mergeCell ref="G42:I42"/>
    <mergeCell ref="G40:I40"/>
    <mergeCell ref="J2:J6"/>
    <mergeCell ref="E53:G53"/>
    <mergeCell ref="E52:G52"/>
    <mergeCell ref="C49:D49"/>
    <mergeCell ref="D51:F51"/>
    <mergeCell ref="D50:F50"/>
    <mergeCell ref="B4:C4"/>
    <mergeCell ref="G43:I43"/>
  </mergeCells>
  <conditionalFormatting sqref="B9">
    <cfRule type="expression" priority="21" dxfId="194" stopIfTrue="1">
      <formula>WEEKDAY($B9)=1</formula>
    </cfRule>
    <cfRule type="expression" priority="22" dxfId="1" stopIfTrue="1">
      <formula>WEEKDAY($B9)=7</formula>
    </cfRule>
  </conditionalFormatting>
  <conditionalFormatting sqref="B10:B12 B14:B38 H14:H38 H9 F9:F38">
    <cfRule type="expression" priority="23" dxfId="0" stopIfTrue="1">
      <formula>WEEKDAY($B9)=1</formula>
    </cfRule>
    <cfRule type="expression" priority="24" dxfId="1" stopIfTrue="1">
      <formula>WEEKDAY($B9)=7</formula>
    </cfRule>
  </conditionalFormatting>
  <conditionalFormatting sqref="C9:E9 G9 C10:C12 C14:E27 G14:G38 C33:E35 C28:C32 C36:C38">
    <cfRule type="expression" priority="25" dxfId="0" stopIfTrue="1">
      <formula>WEEKDAY($B9)=1</formula>
    </cfRule>
    <cfRule type="expression" priority="26" dxfId="1" stopIfTrue="1">
      <formula>WEEKDAY($B9)=7</formula>
    </cfRule>
  </conditionalFormatting>
  <conditionalFormatting sqref="C13">
    <cfRule type="expression" priority="30" dxfId="29" stopIfTrue="1">
      <formula>$C5=1</formula>
    </cfRule>
    <cfRule type="expression" priority="31" dxfId="1" stopIfTrue="1">
      <formula>WEEKDAY($B13)=7</formula>
    </cfRule>
    <cfRule type="expression" priority="32" dxfId="0" stopIfTrue="1">
      <formula>WEEKDAY($B13)=1</formula>
    </cfRule>
  </conditionalFormatting>
  <conditionalFormatting sqref="D13:E13">
    <cfRule type="expression" priority="33" dxfId="29" stopIfTrue="1">
      <formula>$C5=1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13">
    <cfRule type="expression" priority="36" dxfId="29" stopIfTrue="1">
      <formula>$C5=1</formula>
    </cfRule>
    <cfRule type="expression" priority="37" dxfId="50" stopIfTrue="1">
      <formula>WEEKDAY($B13)=7</formula>
    </cfRule>
    <cfRule type="expression" priority="38" dxfId="0" stopIfTrue="1">
      <formula>WEEKDAY($B13)=1</formula>
    </cfRule>
  </conditionalFormatting>
  <conditionalFormatting sqref="G13">
    <cfRule type="expression" priority="39" dxfId="29" stopIfTrue="1">
      <formula>$C5=1</formula>
    </cfRule>
    <cfRule type="expression" priority="40" dxfId="1" stopIfTrue="1">
      <formula>WEEKDAY($B13)=7</formula>
    </cfRule>
    <cfRule type="expression" priority="41" dxfId="0" stopIfTrue="1">
      <formula>WEEKDAY($B13)=1</formula>
    </cfRule>
  </conditionalFormatting>
  <conditionalFormatting sqref="H13">
    <cfRule type="expression" priority="42" dxfId="29" stopIfTrue="1">
      <formula>$C5=1</formula>
    </cfRule>
    <cfRule type="expression" priority="43" dxfId="1" stopIfTrue="1">
      <formula>WEEKDAY($B13)=7</formula>
    </cfRule>
    <cfRule type="expression" priority="44" dxfId="0" stopIfTrue="1">
      <formula>WEEKDAY($B13)=1</formula>
    </cfRule>
  </conditionalFormatting>
  <conditionalFormatting sqref="I8:I38">
    <cfRule type="expression" priority="45" dxfId="0" stopIfTrue="1">
      <formula>WEEKDAY($B8)=1</formula>
    </cfRule>
    <cfRule type="expression" priority="46" dxfId="1" stopIfTrue="1">
      <formula>WEEKDAY($B8)=7</formula>
    </cfRule>
  </conditionalFormatting>
  <conditionalFormatting sqref="H10">
    <cfRule type="expression" priority="17" dxfId="0" stopIfTrue="1">
      <formula>WEEKDAY($B10)=1</formula>
    </cfRule>
    <cfRule type="expression" priority="18" dxfId="1" stopIfTrue="1">
      <formula>WEEKDAY($B10)=7</formula>
    </cfRule>
  </conditionalFormatting>
  <conditionalFormatting sqref="D10:E10 G10">
    <cfRule type="expression" priority="19" dxfId="0" stopIfTrue="1">
      <formula>WEEKDAY($B10)=1</formula>
    </cfRule>
    <cfRule type="expression" priority="20" dxfId="1" stopIfTrue="1">
      <formula>WEEKDAY($B10)=7</formula>
    </cfRule>
  </conditionalFormatting>
  <conditionalFormatting sqref="H11">
    <cfRule type="expression" priority="13" dxfId="0" stopIfTrue="1">
      <formula>WEEKDAY($B11)=1</formula>
    </cfRule>
    <cfRule type="expression" priority="14" dxfId="1" stopIfTrue="1">
      <formula>WEEKDAY($B11)=7</formula>
    </cfRule>
  </conditionalFormatting>
  <conditionalFormatting sqref="D11:E11 G11">
    <cfRule type="expression" priority="15" dxfId="0" stopIfTrue="1">
      <formula>WEEKDAY($B11)=1</formula>
    </cfRule>
    <cfRule type="expression" priority="16" dxfId="1" stopIfTrue="1">
      <formula>WEEKDAY($B11)=7</formula>
    </cfRule>
  </conditionalFormatting>
  <conditionalFormatting sqref="H12">
    <cfRule type="expression" priority="9" dxfId="0" stopIfTrue="1">
      <formula>WEEKDAY($B12)=1</formula>
    </cfRule>
    <cfRule type="expression" priority="10" dxfId="1" stopIfTrue="1">
      <formula>WEEKDAY($B12)=7</formula>
    </cfRule>
  </conditionalFormatting>
  <conditionalFormatting sqref="D12:E12 G12">
    <cfRule type="expression" priority="11" dxfId="0" stopIfTrue="1">
      <formula>WEEKDAY($B12)=1</formula>
    </cfRule>
    <cfRule type="expression" priority="12" dxfId="1" stopIfTrue="1">
      <formula>WEEKDAY($B12)=7</formula>
    </cfRule>
  </conditionalFormatting>
  <conditionalFormatting sqref="D28:E32">
    <cfRule type="expression" priority="7" dxfId="0" stopIfTrue="1">
      <formula>WEEKDAY($B28)=1</formula>
    </cfRule>
    <cfRule type="expression" priority="8" dxfId="1" stopIfTrue="1">
      <formula>WEEKDAY($B28)=7</formula>
    </cfRule>
  </conditionalFormatting>
  <conditionalFormatting sqref="D36:E38">
    <cfRule type="expression" priority="3" dxfId="0" stopIfTrue="1">
      <formula>WEEKDAY($B36)=1</formula>
    </cfRule>
    <cfRule type="expression" priority="4" dxfId="1" stopIfTrue="1">
      <formula>WEEKDAY($B36)=7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9"/>
  <sheetViews>
    <sheetView defaultGridColor="0" zoomScalePageLayoutView="0" colorId="22" workbookViewId="0" topLeftCell="B6">
      <selection activeCell="J43" sqref="J43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Februar "&amp;gewJahr</f>
        <v>Arbeitszeitachweis Februar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5.7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9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2:14" ht="26.25" customHeight="1"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79"/>
      <c r="L7" s="78"/>
      <c r="M7" s="78"/>
      <c r="N7" s="78"/>
    </row>
    <row r="8" spans="1:15" s="210" customFormat="1" ht="11.25">
      <c r="A8" s="207"/>
      <c r="B8" s="198">
        <f>DATE(gewJahr,2,1)</f>
        <v>43862</v>
      </c>
      <c r="C8" s="199">
        <f aca="true" t="shared" si="0" ref="C8:C35">WEEKDAY(B8)</f>
        <v>7</v>
      </c>
      <c r="D8" s="278">
        <v>0</v>
      </c>
      <c r="E8" s="278">
        <v>0</v>
      </c>
      <c r="F8" s="268">
        <f aca="true" t="shared" si="1" ref="F8:F13">MAX(IF(D8&lt;=E8,E8-D8,"24:00"-D8+E8)-G8,0)</f>
        <v>0</v>
      </c>
      <c r="G8" s="278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43863</v>
      </c>
      <c r="C9" s="199">
        <f t="shared" si="0"/>
        <v>1</v>
      </c>
      <c r="D9" s="278">
        <v>0</v>
      </c>
      <c r="E9" s="278">
        <v>0</v>
      </c>
      <c r="F9" s="268">
        <f t="shared" si="1"/>
        <v>0</v>
      </c>
      <c r="G9" s="278"/>
      <c r="H9" s="269">
        <f aca="true" t="shared" si="2" ref="H9:H35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9.75">
      <c r="A10" s="207"/>
      <c r="B10" s="198">
        <f aca="true" t="shared" si="3" ref="B10:B35">B9+1</f>
        <v>43864</v>
      </c>
      <c r="C10" s="199">
        <f t="shared" si="0"/>
        <v>2</v>
      </c>
      <c r="D10" s="278">
        <v>0</v>
      </c>
      <c r="E10" s="278">
        <v>0</v>
      </c>
      <c r="F10" s="268">
        <f t="shared" si="1"/>
        <v>0</v>
      </c>
      <c r="G10" s="278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3"/>
        <v>43865</v>
      </c>
      <c r="C11" s="199">
        <f t="shared" si="0"/>
        <v>3</v>
      </c>
      <c r="D11" s="278">
        <v>0</v>
      </c>
      <c r="E11" s="278">
        <v>0</v>
      </c>
      <c r="F11" s="268">
        <f t="shared" si="1"/>
        <v>0</v>
      </c>
      <c r="G11" s="278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3"/>
        <v>43866</v>
      </c>
      <c r="C12" s="199">
        <f t="shared" si="0"/>
        <v>4</v>
      </c>
      <c r="D12" s="278">
        <v>0</v>
      </c>
      <c r="E12" s="278">
        <v>0</v>
      </c>
      <c r="F12" s="268">
        <f t="shared" si="1"/>
        <v>0</v>
      </c>
      <c r="G12" s="278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>B12+1</f>
        <v>43867</v>
      </c>
      <c r="C13" s="199">
        <f t="shared" si="0"/>
        <v>5</v>
      </c>
      <c r="D13" s="278">
        <v>0</v>
      </c>
      <c r="E13" s="278">
        <v>0</v>
      </c>
      <c r="F13" s="268">
        <f t="shared" si="1"/>
        <v>0</v>
      </c>
      <c r="G13" s="278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3"/>
        <v>43868</v>
      </c>
      <c r="C14" s="199">
        <f t="shared" si="0"/>
        <v>6</v>
      </c>
      <c r="D14" s="278">
        <v>0</v>
      </c>
      <c r="E14" s="278">
        <v>0</v>
      </c>
      <c r="F14" s="268">
        <f aca="true" t="shared" si="4" ref="F14:F34">MAX(IF(D14&lt;=E14,E14-D14,"24:00"-D14+E14)-G14,0)</f>
        <v>0</v>
      </c>
      <c r="G14" s="278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583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3"/>
        <v>43869</v>
      </c>
      <c r="C15" s="199">
        <f t="shared" si="0"/>
        <v>7</v>
      </c>
      <c r="D15" s="278">
        <v>0</v>
      </c>
      <c r="E15" s="278">
        <v>0</v>
      </c>
      <c r="F15" s="268">
        <f t="shared" si="4"/>
        <v>0</v>
      </c>
      <c r="G15" s="278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3"/>
        <v>43870</v>
      </c>
      <c r="C16" s="199">
        <f t="shared" si="0"/>
        <v>1</v>
      </c>
      <c r="D16" s="278">
        <v>0</v>
      </c>
      <c r="E16" s="278">
        <v>0</v>
      </c>
      <c r="F16" s="268">
        <f t="shared" si="4"/>
        <v>0</v>
      </c>
      <c r="G16" s="278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3"/>
        <v>43871</v>
      </c>
      <c r="C17" s="199">
        <f t="shared" si="0"/>
        <v>2</v>
      </c>
      <c r="D17" s="278">
        <v>0</v>
      </c>
      <c r="E17" s="278">
        <v>0</v>
      </c>
      <c r="F17" s="268">
        <f t="shared" si="4"/>
        <v>0</v>
      </c>
      <c r="G17" s="278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3"/>
        <v>43872</v>
      </c>
      <c r="C18" s="199">
        <f t="shared" si="0"/>
        <v>3</v>
      </c>
      <c r="D18" s="278">
        <v>0</v>
      </c>
      <c r="E18" s="278">
        <v>0</v>
      </c>
      <c r="F18" s="268">
        <f t="shared" si="4"/>
        <v>0</v>
      </c>
      <c r="G18" s="278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3"/>
        <v>43873</v>
      </c>
      <c r="C19" s="199">
        <f t="shared" si="0"/>
        <v>4</v>
      </c>
      <c r="D19" s="278">
        <v>0</v>
      </c>
      <c r="E19" s="278">
        <v>0</v>
      </c>
      <c r="F19" s="268">
        <f t="shared" si="4"/>
        <v>0</v>
      </c>
      <c r="G19" s="278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3"/>
        <v>43874</v>
      </c>
      <c r="C20" s="199">
        <f t="shared" si="0"/>
        <v>5</v>
      </c>
      <c r="D20" s="278">
        <v>0</v>
      </c>
      <c r="E20" s="278">
        <v>0</v>
      </c>
      <c r="F20" s="268">
        <f t="shared" si="4"/>
        <v>0</v>
      </c>
      <c r="G20" s="278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3"/>
        <v>43875</v>
      </c>
      <c r="C21" s="199">
        <f t="shared" si="0"/>
        <v>6</v>
      </c>
      <c r="D21" s="278">
        <v>0</v>
      </c>
      <c r="E21" s="278">
        <v>0</v>
      </c>
      <c r="F21" s="268">
        <f t="shared" si="4"/>
        <v>0</v>
      </c>
      <c r="G21" s="278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3"/>
        <v>43876</v>
      </c>
      <c r="C22" s="199">
        <f t="shared" si="0"/>
        <v>7</v>
      </c>
      <c r="D22" s="278">
        <v>0</v>
      </c>
      <c r="E22" s="278">
        <v>0</v>
      </c>
      <c r="F22" s="268">
        <f t="shared" si="4"/>
        <v>0</v>
      </c>
      <c r="G22" s="278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3"/>
        <v>43877</v>
      </c>
      <c r="C23" s="199">
        <f t="shared" si="0"/>
        <v>1</v>
      </c>
      <c r="D23" s="278">
        <v>0</v>
      </c>
      <c r="E23" s="278">
        <v>0</v>
      </c>
      <c r="F23" s="268">
        <f t="shared" si="4"/>
        <v>0</v>
      </c>
      <c r="G23" s="278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3"/>
        <v>43878</v>
      </c>
      <c r="C24" s="199">
        <f t="shared" si="0"/>
        <v>2</v>
      </c>
      <c r="D24" s="278">
        <v>0</v>
      </c>
      <c r="E24" s="278">
        <v>0</v>
      </c>
      <c r="F24" s="268">
        <f t="shared" si="4"/>
        <v>0</v>
      </c>
      <c r="G24" s="278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3"/>
        <v>43879</v>
      </c>
      <c r="C25" s="199">
        <f t="shared" si="0"/>
        <v>3</v>
      </c>
      <c r="D25" s="278">
        <v>0</v>
      </c>
      <c r="E25" s="278">
        <v>0</v>
      </c>
      <c r="F25" s="268">
        <f t="shared" si="4"/>
        <v>0</v>
      </c>
      <c r="G25" s="278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3"/>
        <v>43880</v>
      </c>
      <c r="C26" s="199">
        <f t="shared" si="0"/>
        <v>4</v>
      </c>
      <c r="D26" s="278">
        <v>0</v>
      </c>
      <c r="E26" s="278">
        <v>0</v>
      </c>
      <c r="F26" s="268">
        <f t="shared" si="4"/>
        <v>0</v>
      </c>
      <c r="G26" s="278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3"/>
        <v>43881</v>
      </c>
      <c r="C27" s="199">
        <f t="shared" si="0"/>
        <v>5</v>
      </c>
      <c r="D27" s="278">
        <v>0</v>
      </c>
      <c r="E27" s="278">
        <v>0</v>
      </c>
      <c r="F27" s="268">
        <f t="shared" si="4"/>
        <v>0</v>
      </c>
      <c r="G27" s="278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3"/>
        <v>43882</v>
      </c>
      <c r="C28" s="199">
        <f t="shared" si="0"/>
        <v>6</v>
      </c>
      <c r="D28" s="278">
        <v>0</v>
      </c>
      <c r="E28" s="278">
        <v>0</v>
      </c>
      <c r="F28" s="268">
        <f t="shared" si="4"/>
        <v>0</v>
      </c>
      <c r="G28" s="278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3"/>
        <v>43883</v>
      </c>
      <c r="C29" s="199">
        <f t="shared" si="0"/>
        <v>7</v>
      </c>
      <c r="D29" s="278">
        <v>0</v>
      </c>
      <c r="E29" s="278">
        <v>0</v>
      </c>
      <c r="F29" s="268">
        <f t="shared" si="4"/>
        <v>0</v>
      </c>
      <c r="G29" s="278"/>
      <c r="H29" s="269">
        <f t="shared" si="2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3"/>
        <v>43884</v>
      </c>
      <c r="C30" s="199">
        <f t="shared" si="0"/>
        <v>1</v>
      </c>
      <c r="D30" s="278">
        <v>0</v>
      </c>
      <c r="E30" s="278">
        <v>0</v>
      </c>
      <c r="F30" s="268">
        <f t="shared" si="4"/>
        <v>0</v>
      </c>
      <c r="G30" s="278"/>
      <c r="H30" s="269">
        <f t="shared" si="2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3"/>
        <v>43885</v>
      </c>
      <c r="C31" s="199">
        <f t="shared" si="0"/>
        <v>2</v>
      </c>
      <c r="D31" s="278">
        <v>0</v>
      </c>
      <c r="E31" s="278">
        <v>0</v>
      </c>
      <c r="F31" s="268">
        <f t="shared" si="4"/>
        <v>0</v>
      </c>
      <c r="G31" s="278"/>
      <c r="H31" s="269">
        <f t="shared" si="2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3"/>
        <v>43886</v>
      </c>
      <c r="C32" s="199">
        <f t="shared" si="0"/>
        <v>3</v>
      </c>
      <c r="D32" s="278">
        <v>0</v>
      </c>
      <c r="E32" s="278">
        <v>0</v>
      </c>
      <c r="F32" s="268">
        <f t="shared" si="4"/>
        <v>0</v>
      </c>
      <c r="G32" s="278"/>
      <c r="H32" s="269">
        <f t="shared" si="2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3"/>
        <v>43887</v>
      </c>
      <c r="C33" s="199">
        <f t="shared" si="0"/>
        <v>4</v>
      </c>
      <c r="D33" s="278">
        <v>0</v>
      </c>
      <c r="E33" s="278">
        <v>0</v>
      </c>
      <c r="F33" s="268">
        <f t="shared" si="4"/>
        <v>0</v>
      </c>
      <c r="G33" s="278"/>
      <c r="H33" s="269">
        <f t="shared" si="2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3"/>
        <v>43888</v>
      </c>
      <c r="C34" s="199">
        <f t="shared" si="0"/>
        <v>5</v>
      </c>
      <c r="D34" s="278">
        <v>0</v>
      </c>
      <c r="E34" s="278">
        <v>0</v>
      </c>
      <c r="F34" s="268">
        <f t="shared" si="4"/>
        <v>0</v>
      </c>
      <c r="G34" s="278"/>
      <c r="H34" s="269">
        <f t="shared" si="2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3"/>
        <v>43889</v>
      </c>
      <c r="C35" s="199">
        <f t="shared" si="0"/>
        <v>6</v>
      </c>
      <c r="D35" s="278">
        <v>0</v>
      </c>
      <c r="E35" s="278">
        <v>0</v>
      </c>
      <c r="F35" s="268">
        <f>MAX(IF(B40&lt;=E35,E35-B40,"24:00"-B40+E35)-G35,0)</f>
        <v>0</v>
      </c>
      <c r="G35" s="278"/>
      <c r="H35" s="269">
        <f t="shared" si="2"/>
        <v>0</v>
      </c>
      <c r="I35" s="271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>CHOOSE(OR(AND(MOD(gewJahr,4)=0,MOD(gewJahr,100)&lt;&gt;0),MOD(gewJahr,400)=0)+1,"",B35+1)</f>
        <v>43890</v>
      </c>
      <c r="C36" s="199">
        <f>CHOOSE(OR(AND(MOD(gewJahr,4)=0,MOD(gewJahr,100)&lt;&gt;0),MOD(gewJahr,400)=0)+1,"",WEEKDAY(B36))</f>
        <v>7</v>
      </c>
      <c r="D36" s="278">
        <v>0</v>
      </c>
      <c r="E36" s="278">
        <v>0</v>
      </c>
      <c r="F36" s="268">
        <f>CHOOSE(OR(AND(MOD(gewJahr,4)=0,MOD(gewJahr,100)&lt;&gt;0),MOD(gewJahr,400)=0)+1,"",MAX(IF(B41&lt;=E36,E36-B41,"24:00"-B41+E36)-G36,0))</f>
        <v>0</v>
      </c>
      <c r="G36" s="202"/>
      <c r="H36" s="269">
        <f>CHOOSE(OR(AND(MOD(gewJahr,4)=0,MOD(gewJahr,100)&lt;&gt;0),MOD(gewJahr,400)=0)+1,"",F36-I36)</f>
        <v>0</v>
      </c>
      <c r="I36" s="271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  <v>0</v>
      </c>
      <c r="J36" s="197"/>
      <c r="K36" s="208"/>
      <c r="L36" s="208"/>
      <c r="M36" s="208"/>
      <c r="N36" s="208"/>
      <c r="O36" s="207"/>
    </row>
    <row r="37" spans="1:15" s="210" customFormat="1" ht="11.25" customHeight="1">
      <c r="A37" s="207"/>
      <c r="B37" s="198"/>
      <c r="C37" s="302">
        <v>0</v>
      </c>
      <c r="D37" s="200">
        <v>0</v>
      </c>
      <c r="E37" s="200">
        <v>0</v>
      </c>
      <c r="F37" s="201"/>
      <c r="G37" s="202"/>
      <c r="H37" s="203"/>
      <c r="I37" s="196"/>
      <c r="J37" s="244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/>
      <c r="C38" s="302">
        <v>0</v>
      </c>
      <c r="D38" s="200">
        <v>0</v>
      </c>
      <c r="E38" s="200">
        <v>0</v>
      </c>
      <c r="F38" s="201"/>
      <c r="G38" s="202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9.75">
      <c r="A40" s="211"/>
      <c r="B40" s="188"/>
      <c r="C40" s="665" t="s">
        <v>309</v>
      </c>
      <c r="D40" s="665"/>
      <c r="E40" s="666"/>
      <c r="F40" s="576">
        <f>SUM(H39,PRODUCT(SUM(J40,J42,J43),Stammdaten!H28))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188"/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Jan!J41-J40</f>
        <v>30</v>
      </c>
      <c r="K41" s="193"/>
      <c r="L41" s="212"/>
      <c r="M41" s="197">
        <f>COUNTIF(M8:M38,"k")</f>
        <v>0</v>
      </c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208"/>
      <c r="L42" s="208"/>
      <c r="M42" s="208"/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4" ht="11.25" customHeight="1">
      <c r="A45" s="165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77"/>
      <c r="L45" s="65"/>
      <c r="M45" s="65"/>
      <c r="N45" s="65"/>
    </row>
    <row r="46" spans="2:12" ht="12.75"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5"/>
      <c r="L46" s="4"/>
    </row>
    <row r="47" spans="2:14" ht="12.75">
      <c r="B47" s="182"/>
      <c r="C47" s="663" t="s">
        <v>33</v>
      </c>
      <c r="D47" s="663"/>
      <c r="E47" s="664"/>
      <c r="F47" s="580">
        <f>Arbeitszeitübersicht!D8/24</f>
        <v>0</v>
      </c>
      <c r="G47" s="222"/>
      <c r="H47" s="81"/>
      <c r="I47" s="5"/>
      <c r="J47" s="5"/>
      <c r="K47" s="11"/>
      <c r="L47" s="5"/>
      <c r="N47" s="101"/>
    </row>
    <row r="48" spans="2:14" ht="12.75">
      <c r="B48" s="182"/>
      <c r="C48" s="581"/>
      <c r="D48" s="581"/>
      <c r="E48" s="581"/>
      <c r="F48" s="582"/>
      <c r="G48" s="222"/>
      <c r="H48" s="81"/>
      <c r="I48" s="5"/>
      <c r="J48" s="5"/>
      <c r="K48" s="11"/>
      <c r="L48" s="5"/>
      <c r="N48" s="101"/>
    </row>
    <row r="49" spans="2:12" ht="12.75">
      <c r="B49" s="4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3" ht="12.75">
      <c r="B50" s="4"/>
      <c r="C50" s="11"/>
      <c r="D50" s="653"/>
      <c r="E50" s="653"/>
      <c r="F50" s="653"/>
      <c r="G50" s="5"/>
      <c r="H50" s="103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53"/>
      <c r="F51" s="654"/>
      <c r="G51" s="654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53"/>
      <c r="F52" s="654"/>
      <c r="G52" s="654"/>
      <c r="H52" s="81"/>
      <c r="I52" s="5"/>
      <c r="J52" s="5"/>
      <c r="K52" s="5"/>
      <c r="L52" s="4"/>
      <c r="N52" s="101"/>
    </row>
    <row r="53" spans="2:12" ht="12.75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3:12" ht="15.75" customHeight="1" hidden="1"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9">
    <mergeCell ref="B7:C7"/>
    <mergeCell ref="B4:C4"/>
    <mergeCell ref="J2:J6"/>
    <mergeCell ref="G43:I43"/>
    <mergeCell ref="G40:I40"/>
    <mergeCell ref="G41:I41"/>
    <mergeCell ref="G42:I42"/>
    <mergeCell ref="C40:E40"/>
    <mergeCell ref="C41:E41"/>
    <mergeCell ref="C42:E42"/>
    <mergeCell ref="C43:E43"/>
    <mergeCell ref="C44:E44"/>
    <mergeCell ref="C45:E45"/>
    <mergeCell ref="D50:F50"/>
    <mergeCell ref="E51:G51"/>
    <mergeCell ref="E52:G52"/>
    <mergeCell ref="C49:D49"/>
    <mergeCell ref="C46:E46"/>
    <mergeCell ref="C47:E47"/>
  </mergeCells>
  <conditionalFormatting sqref="B8">
    <cfRule type="expression" priority="21" dxfId="194" stopIfTrue="1">
      <formula>WEEKDAY($B8)=1</formula>
    </cfRule>
    <cfRule type="expression" priority="22" dxfId="1" stopIfTrue="1">
      <formula>WEEKDAY($B8)=7</formula>
    </cfRule>
  </conditionalFormatting>
  <conditionalFormatting sqref="B10:B12 B14:B38 H8:I38 F8:F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194" stopIfTrue="1">
      <formula>WEEKDAY($B9)=1</formula>
    </cfRule>
    <cfRule type="expression" priority="37" dxfId="1" stopIfTrue="1">
      <formula>WEEKDAY($B9)=7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60"/>
  <sheetViews>
    <sheetView defaultGridColor="0" zoomScalePageLayoutView="0" colorId="22" workbookViewId="0" topLeftCell="A1">
      <selection activeCell="F33" sqref="F33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März "&amp;gewJahr</f>
        <v>Arbeitszeitachweis März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7.25" customHeight="1" hidden="1">
      <c r="B4" s="655"/>
      <c r="C4" s="655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4.75" customHeight="1">
      <c r="A7" s="207"/>
      <c r="B7" s="656" t="s">
        <v>38</v>
      </c>
      <c r="C7" s="657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DATE(gewJahr,3,1)</f>
        <v>43891</v>
      </c>
      <c r="C8" s="199">
        <f aca="true" t="shared" si="0" ref="C8:C38">WEEKDAY(B8)</f>
        <v>1</v>
      </c>
      <c r="D8" s="200">
        <v>0</v>
      </c>
      <c r="E8" s="200">
        <v>0</v>
      </c>
      <c r="F8" s="268">
        <f aca="true" t="shared" si="1" ref="F8:F13">MAX(IF(D8&lt;=E8,E8-D8,"24:00"-D8+E8)-G8,0)</f>
        <v>0</v>
      </c>
      <c r="G8" s="278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43892</v>
      </c>
      <c r="C9" s="199">
        <f t="shared" si="0"/>
        <v>2</v>
      </c>
      <c r="D9" s="200">
        <v>0</v>
      </c>
      <c r="E9" s="200">
        <v>0</v>
      </c>
      <c r="F9" s="268">
        <f t="shared" si="1"/>
        <v>0</v>
      </c>
      <c r="G9" s="278"/>
      <c r="H9" s="269">
        <f aca="true" t="shared" si="2" ref="H9:H2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9.75">
      <c r="A10" s="207"/>
      <c r="B10" s="198">
        <f aca="true" t="shared" si="3" ref="B10:B38">B9+1</f>
        <v>43893</v>
      </c>
      <c r="C10" s="199">
        <f t="shared" si="0"/>
        <v>3</v>
      </c>
      <c r="D10" s="200">
        <v>0</v>
      </c>
      <c r="E10" s="200">
        <v>0</v>
      </c>
      <c r="F10" s="268">
        <f t="shared" si="1"/>
        <v>0</v>
      </c>
      <c r="G10" s="278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3"/>
        <v>43894</v>
      </c>
      <c r="C11" s="199">
        <f t="shared" si="0"/>
        <v>4</v>
      </c>
      <c r="D11" s="200">
        <v>0</v>
      </c>
      <c r="E11" s="200">
        <v>0</v>
      </c>
      <c r="F11" s="268">
        <f t="shared" si="1"/>
        <v>0</v>
      </c>
      <c r="G11" s="278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3"/>
        <v>43895</v>
      </c>
      <c r="C12" s="199">
        <f t="shared" si="0"/>
        <v>5</v>
      </c>
      <c r="D12" s="200">
        <v>0</v>
      </c>
      <c r="E12" s="200">
        <v>0</v>
      </c>
      <c r="F12" s="268">
        <f t="shared" si="1"/>
        <v>0</v>
      </c>
      <c r="G12" s="278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3"/>
        <v>43896</v>
      </c>
      <c r="C13" s="214">
        <f t="shared" si="0"/>
        <v>6</v>
      </c>
      <c r="D13" s="200">
        <v>0</v>
      </c>
      <c r="E13" s="200">
        <v>0</v>
      </c>
      <c r="F13" s="268">
        <f t="shared" si="1"/>
        <v>0</v>
      </c>
      <c r="G13" s="278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3"/>
        <v>43897</v>
      </c>
      <c r="C14" s="199">
        <f t="shared" si="0"/>
        <v>7</v>
      </c>
      <c r="D14" s="200">
        <v>0</v>
      </c>
      <c r="E14" s="200">
        <v>0</v>
      </c>
      <c r="F14" s="268">
        <f aca="true" t="shared" si="4" ref="F14:F38">MAX(IF(D14&lt;=E14,E14-D14,"24:00"-D14+E14)-G14,0)</f>
        <v>0</v>
      </c>
      <c r="G14" s="278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3"/>
        <v>43898</v>
      </c>
      <c r="C15" s="199">
        <f t="shared" si="0"/>
        <v>1</v>
      </c>
      <c r="D15" s="200">
        <v>0</v>
      </c>
      <c r="E15" s="200">
        <v>0</v>
      </c>
      <c r="F15" s="268">
        <f t="shared" si="4"/>
        <v>0</v>
      </c>
      <c r="G15" s="278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3"/>
        <v>43899</v>
      </c>
      <c r="C16" s="199">
        <f t="shared" si="0"/>
        <v>2</v>
      </c>
      <c r="D16" s="200">
        <v>0</v>
      </c>
      <c r="E16" s="200">
        <v>0</v>
      </c>
      <c r="F16" s="268">
        <f t="shared" si="4"/>
        <v>0</v>
      </c>
      <c r="G16" s="278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3"/>
        <v>43900</v>
      </c>
      <c r="C17" s="199">
        <f t="shared" si="0"/>
        <v>3</v>
      </c>
      <c r="D17" s="200">
        <v>0</v>
      </c>
      <c r="E17" s="200">
        <v>0</v>
      </c>
      <c r="F17" s="268">
        <f t="shared" si="4"/>
        <v>0</v>
      </c>
      <c r="G17" s="278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3"/>
        <v>43901</v>
      </c>
      <c r="C18" s="199">
        <f t="shared" si="0"/>
        <v>4</v>
      </c>
      <c r="D18" s="200">
        <v>0</v>
      </c>
      <c r="E18" s="200">
        <v>0</v>
      </c>
      <c r="F18" s="268">
        <f t="shared" si="4"/>
        <v>0</v>
      </c>
      <c r="G18" s="278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3"/>
        <v>43902</v>
      </c>
      <c r="C19" s="199">
        <f t="shared" si="0"/>
        <v>5</v>
      </c>
      <c r="D19" s="200">
        <v>0</v>
      </c>
      <c r="E19" s="200">
        <v>0</v>
      </c>
      <c r="F19" s="268">
        <f t="shared" si="4"/>
        <v>0</v>
      </c>
      <c r="G19" s="278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3"/>
        <v>43903</v>
      </c>
      <c r="C20" s="199">
        <f t="shared" si="0"/>
        <v>6</v>
      </c>
      <c r="D20" s="200">
        <v>0</v>
      </c>
      <c r="E20" s="200">
        <v>0</v>
      </c>
      <c r="F20" s="268">
        <f t="shared" si="4"/>
        <v>0</v>
      </c>
      <c r="G20" s="278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3"/>
        <v>43904</v>
      </c>
      <c r="C21" s="199">
        <f t="shared" si="0"/>
        <v>7</v>
      </c>
      <c r="D21" s="200">
        <v>0</v>
      </c>
      <c r="E21" s="200">
        <v>0</v>
      </c>
      <c r="F21" s="268">
        <f t="shared" si="4"/>
        <v>0</v>
      </c>
      <c r="G21" s="278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3"/>
        <v>43905</v>
      </c>
      <c r="C22" s="199">
        <f t="shared" si="0"/>
        <v>1</v>
      </c>
      <c r="D22" s="200">
        <v>0</v>
      </c>
      <c r="E22" s="200">
        <v>0</v>
      </c>
      <c r="F22" s="268">
        <f t="shared" si="4"/>
        <v>0</v>
      </c>
      <c r="G22" s="278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3"/>
        <v>43906</v>
      </c>
      <c r="C23" s="199">
        <f t="shared" si="0"/>
        <v>2</v>
      </c>
      <c r="D23" s="200">
        <v>0</v>
      </c>
      <c r="E23" s="200">
        <v>0</v>
      </c>
      <c r="F23" s="268">
        <f t="shared" si="4"/>
        <v>0</v>
      </c>
      <c r="G23" s="278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3"/>
        <v>43907</v>
      </c>
      <c r="C24" s="199">
        <f t="shared" si="0"/>
        <v>3</v>
      </c>
      <c r="D24" s="200">
        <v>0</v>
      </c>
      <c r="E24" s="200">
        <v>0</v>
      </c>
      <c r="F24" s="268">
        <f t="shared" si="4"/>
        <v>0</v>
      </c>
      <c r="G24" s="278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3"/>
        <v>43908</v>
      </c>
      <c r="C25" s="199">
        <f t="shared" si="0"/>
        <v>4</v>
      </c>
      <c r="D25" s="200">
        <v>0</v>
      </c>
      <c r="E25" s="200">
        <v>0</v>
      </c>
      <c r="F25" s="268">
        <f t="shared" si="4"/>
        <v>0</v>
      </c>
      <c r="G25" s="278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3"/>
        <v>43909</v>
      </c>
      <c r="C26" s="199">
        <f t="shared" si="0"/>
        <v>5</v>
      </c>
      <c r="D26" s="200">
        <v>0</v>
      </c>
      <c r="E26" s="200">
        <v>0</v>
      </c>
      <c r="F26" s="268">
        <f t="shared" si="4"/>
        <v>0</v>
      </c>
      <c r="G26" s="278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3"/>
        <v>43910</v>
      </c>
      <c r="C27" s="199">
        <f t="shared" si="0"/>
        <v>6</v>
      </c>
      <c r="D27" s="200">
        <v>0</v>
      </c>
      <c r="E27" s="200">
        <v>0</v>
      </c>
      <c r="F27" s="268">
        <f t="shared" si="4"/>
        <v>0</v>
      </c>
      <c r="G27" s="278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3"/>
        <v>43911</v>
      </c>
      <c r="C28" s="199">
        <f t="shared" si="0"/>
        <v>7</v>
      </c>
      <c r="D28" s="200">
        <v>0</v>
      </c>
      <c r="E28" s="200">
        <v>0</v>
      </c>
      <c r="F28" s="268">
        <f t="shared" si="4"/>
        <v>0</v>
      </c>
      <c r="G28" s="278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3"/>
        <v>43912</v>
      </c>
      <c r="C29" s="199">
        <f t="shared" si="0"/>
        <v>1</v>
      </c>
      <c r="D29" s="200">
        <v>0</v>
      </c>
      <c r="E29" s="200">
        <v>0</v>
      </c>
      <c r="F29" s="268">
        <f t="shared" si="4"/>
        <v>0</v>
      </c>
      <c r="G29" s="278"/>
      <c r="H29" s="269">
        <f>IF(F29-I29&gt;0,F29-I29,0)</f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3"/>
        <v>43913</v>
      </c>
      <c r="C30" s="199">
        <f t="shared" si="0"/>
        <v>2</v>
      </c>
      <c r="D30" s="200">
        <v>0</v>
      </c>
      <c r="E30" s="200">
        <v>0</v>
      </c>
      <c r="F30" s="268">
        <f t="shared" si="4"/>
        <v>0</v>
      </c>
      <c r="G30" s="278"/>
      <c r="H30" s="269">
        <f aca="true" t="shared" si="5" ref="H30:H38">IF(F30-I30&gt;0,F30-I30,0)</f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3"/>
        <v>43914</v>
      </c>
      <c r="C31" s="199">
        <f t="shared" si="0"/>
        <v>3</v>
      </c>
      <c r="D31" s="200">
        <v>0</v>
      </c>
      <c r="E31" s="200">
        <v>0</v>
      </c>
      <c r="F31" s="268">
        <f t="shared" si="4"/>
        <v>0</v>
      </c>
      <c r="G31" s="278"/>
      <c r="H31" s="269">
        <f t="shared" si="5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3"/>
        <v>43915</v>
      </c>
      <c r="C32" s="199">
        <f t="shared" si="0"/>
        <v>4</v>
      </c>
      <c r="D32" s="200">
        <v>0</v>
      </c>
      <c r="E32" s="200">
        <v>0</v>
      </c>
      <c r="F32" s="268">
        <f t="shared" si="4"/>
        <v>0</v>
      </c>
      <c r="G32" s="278"/>
      <c r="H32" s="269">
        <f t="shared" si="5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3"/>
        <v>43916</v>
      </c>
      <c r="C33" s="199">
        <f t="shared" si="0"/>
        <v>5</v>
      </c>
      <c r="D33" s="200">
        <v>0</v>
      </c>
      <c r="E33" s="200">
        <v>0</v>
      </c>
      <c r="F33" s="268">
        <f t="shared" si="4"/>
        <v>0</v>
      </c>
      <c r="G33" s="278"/>
      <c r="H33" s="269">
        <f t="shared" si="5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3"/>
        <v>43917</v>
      </c>
      <c r="C34" s="199">
        <f t="shared" si="0"/>
        <v>6</v>
      </c>
      <c r="D34" s="200">
        <v>0</v>
      </c>
      <c r="E34" s="200">
        <v>0</v>
      </c>
      <c r="F34" s="268">
        <f t="shared" si="4"/>
        <v>0</v>
      </c>
      <c r="G34" s="278"/>
      <c r="H34" s="269">
        <f t="shared" si="5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3"/>
        <v>43918</v>
      </c>
      <c r="C35" s="199">
        <f t="shared" si="0"/>
        <v>7</v>
      </c>
      <c r="D35" s="200">
        <v>0</v>
      </c>
      <c r="E35" s="200">
        <v>0</v>
      </c>
      <c r="F35" s="268">
        <f t="shared" si="4"/>
        <v>0</v>
      </c>
      <c r="G35" s="278"/>
      <c r="H35" s="269">
        <f t="shared" si="5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3"/>
        <v>43919</v>
      </c>
      <c r="C36" s="199">
        <f t="shared" si="0"/>
        <v>1</v>
      </c>
      <c r="D36" s="200">
        <v>0</v>
      </c>
      <c r="E36" s="200">
        <v>0</v>
      </c>
      <c r="F36" s="268">
        <f t="shared" si="4"/>
        <v>0</v>
      </c>
      <c r="G36" s="278"/>
      <c r="H36" s="269">
        <f t="shared" si="5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584">
        <f t="shared" si="3"/>
        <v>43920</v>
      </c>
      <c r="C37" s="214">
        <f t="shared" si="0"/>
        <v>2</v>
      </c>
      <c r="D37" s="200">
        <v>0</v>
      </c>
      <c r="E37" s="200">
        <v>0</v>
      </c>
      <c r="F37" s="268">
        <f t="shared" si="4"/>
        <v>0</v>
      </c>
      <c r="G37" s="278"/>
      <c r="H37" s="269">
        <f t="shared" si="5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9.75">
      <c r="A38" s="207"/>
      <c r="B38" s="198">
        <f t="shared" si="3"/>
        <v>43921</v>
      </c>
      <c r="C38" s="199">
        <f t="shared" si="0"/>
        <v>3</v>
      </c>
      <c r="D38" s="200">
        <v>0</v>
      </c>
      <c r="E38" s="200">
        <v>0</v>
      </c>
      <c r="F38" s="268">
        <f t="shared" si="4"/>
        <v>0</v>
      </c>
      <c r="G38" s="278"/>
      <c r="H38" s="269">
        <f t="shared" si="5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SUM(H39,PRODUCT(SUM(J40,J42,J43),Stammdaten!H28))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592">
        <f>Ostern(gewJahr)</f>
        <v>43933</v>
      </c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Feb!J41-J40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193"/>
      <c r="D49" s="193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653"/>
      <c r="F50" s="653"/>
      <c r="G50" s="653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53"/>
      <c r="G51" s="654"/>
      <c r="H51" s="654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53"/>
      <c r="G52" s="654"/>
      <c r="H52" s="654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B7:C7"/>
    <mergeCell ref="B4:C4"/>
    <mergeCell ref="F51:H51"/>
    <mergeCell ref="G43:I43"/>
    <mergeCell ref="J2:J6"/>
    <mergeCell ref="G41:I41"/>
    <mergeCell ref="G42:I42"/>
    <mergeCell ref="C40:E40"/>
    <mergeCell ref="G40:I40"/>
    <mergeCell ref="F52:H52"/>
    <mergeCell ref="E50:G50"/>
    <mergeCell ref="C41:E41"/>
    <mergeCell ref="C43:E43"/>
    <mergeCell ref="C44:E44"/>
    <mergeCell ref="C45:E45"/>
    <mergeCell ref="C46:E46"/>
    <mergeCell ref="C47:E47"/>
    <mergeCell ref="C42:E42"/>
  </mergeCells>
  <conditionalFormatting sqref="B8:B26 H8:H28 I8:I38 F8:F26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OR($B27=$B$41,$B27=$B$41+1,$B27=$B$41-2)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OR($B28=$B$41,$B28=$B$41+1,$B28=$B$41-2)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B31">
    <cfRule type="expression" priority="20" dxfId="10" stopIfTrue="1">
      <formula>OR($B31=$B$41,$B31=$B$41+1,$B31=$B$41-2)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OR($B30=$B$41,$B30=$B$41+1,$B30=$B$41-2)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conditionalFormatting sqref="B8:H38">
    <cfRule type="expression" priority="17" dxfId="10" stopIfTrue="1">
      <formula>OR($B8=$B$41,$B8=$B$41+1,$B8=$B$41-2)</formula>
    </cfRule>
    <cfRule type="expression" priority="18" dxfId="1" stopIfTrue="1">
      <formula>WEEKDAY($B8)=7</formula>
    </cfRule>
    <cfRule type="expression" priority="19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9"/>
  <sheetViews>
    <sheetView defaultGridColor="0" zoomScalePageLayoutView="0" colorId="22" workbookViewId="0" topLeftCell="A1">
      <selection activeCell="F31" sqref="F3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April "&amp;gewJahr</f>
        <v>Arbeitszeitachweis April 2020</v>
      </c>
      <c r="C2" s="447"/>
      <c r="D2" s="447"/>
      <c r="E2" s="447"/>
      <c r="F2" s="447"/>
      <c r="G2" s="446"/>
      <c r="H2" s="446"/>
      <c r="I2" s="446"/>
      <c r="J2" s="651" t="s">
        <v>92</v>
      </c>
      <c r="K2" s="13"/>
      <c r="L2" s="63"/>
      <c r="M2" s="14"/>
      <c r="N2" s="14"/>
    </row>
    <row r="3" spans="2:14" ht="13.5" customHeight="1">
      <c r="B3" s="484" t="s">
        <v>122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2.75" customHeight="1" hidden="1">
      <c r="B4" s="452"/>
      <c r="C4" s="452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52"/>
      <c r="K6" s="78"/>
      <c r="L6" s="5"/>
      <c r="M6" s="5"/>
      <c r="N6" s="5"/>
    </row>
    <row r="7" spans="1:15" s="210" customFormat="1" ht="25.5" customHeight="1">
      <c r="A7" s="207"/>
      <c r="B7" s="672" t="s">
        <v>38</v>
      </c>
      <c r="C7" s="673"/>
      <c r="D7" s="453" t="s">
        <v>245</v>
      </c>
      <c r="E7" s="454" t="s">
        <v>246</v>
      </c>
      <c r="F7" s="455" t="s">
        <v>247</v>
      </c>
      <c r="G7" s="455" t="s">
        <v>248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215">
        <f>DATE(gewJahr,4,1)</f>
        <v>43922</v>
      </c>
      <c r="C8" s="199">
        <f aca="true" t="shared" si="0" ref="C8:C37">WEEKDAY(B8)</f>
        <v>4</v>
      </c>
      <c r="D8" s="200">
        <v>0</v>
      </c>
      <c r="E8" s="200">
        <v>0</v>
      </c>
      <c r="F8" s="268">
        <f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584">
        <f aca="true" t="shared" si="1" ref="B9:B37">B8+1</f>
        <v>43923</v>
      </c>
      <c r="C9" s="214">
        <f t="shared" si="0"/>
        <v>5</v>
      </c>
      <c r="D9" s="200">
        <v>0</v>
      </c>
      <c r="E9" s="200">
        <v>0</v>
      </c>
      <c r="F9" s="268">
        <f aca="true" t="shared" si="2" ref="F9:F37">MAX(IF(D9&lt;=E9,E9-D9,"24:00"-D9+E9)-G9,0)</f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9.75">
      <c r="A10" s="207"/>
      <c r="B10" s="198">
        <f t="shared" si="1"/>
        <v>43924</v>
      </c>
      <c r="C10" s="199">
        <f t="shared" si="0"/>
        <v>6</v>
      </c>
      <c r="D10" s="200">
        <v>0</v>
      </c>
      <c r="E10" s="200">
        <v>0</v>
      </c>
      <c r="F10" s="268">
        <f t="shared" si="2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9.75">
      <c r="A11" s="207"/>
      <c r="B11" s="198">
        <f t="shared" si="1"/>
        <v>43925</v>
      </c>
      <c r="C11" s="199">
        <f t="shared" si="0"/>
        <v>7</v>
      </c>
      <c r="D11" s="200">
        <v>0</v>
      </c>
      <c r="E11" s="200">
        <v>0</v>
      </c>
      <c r="F11" s="268">
        <f t="shared" si="2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9.75">
      <c r="A12" s="207"/>
      <c r="B12" s="198">
        <f t="shared" si="1"/>
        <v>43926</v>
      </c>
      <c r="C12" s="199">
        <f t="shared" si="0"/>
        <v>1</v>
      </c>
      <c r="D12" s="200">
        <v>0</v>
      </c>
      <c r="E12" s="200">
        <v>0</v>
      </c>
      <c r="F12" s="268">
        <f t="shared" si="2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9.75">
      <c r="A13" s="207"/>
      <c r="B13" s="198">
        <f t="shared" si="1"/>
        <v>43927</v>
      </c>
      <c r="C13" s="199">
        <f t="shared" si="0"/>
        <v>2</v>
      </c>
      <c r="D13" s="200">
        <v>0</v>
      </c>
      <c r="E13" s="200">
        <v>0</v>
      </c>
      <c r="F13" s="268">
        <f t="shared" si="2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9.75">
      <c r="A14" s="207"/>
      <c r="B14" s="198">
        <f t="shared" si="1"/>
        <v>43928</v>
      </c>
      <c r="C14" s="199">
        <f t="shared" si="0"/>
        <v>3</v>
      </c>
      <c r="D14" s="200">
        <v>0</v>
      </c>
      <c r="E14" s="200">
        <v>0</v>
      </c>
      <c r="F14" s="268">
        <f t="shared" si="2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9.75">
      <c r="A15" s="207"/>
      <c r="B15" s="198">
        <f t="shared" si="1"/>
        <v>43929</v>
      </c>
      <c r="C15" s="199">
        <f t="shared" si="0"/>
        <v>4</v>
      </c>
      <c r="D15" s="200">
        <v>0</v>
      </c>
      <c r="E15" s="200">
        <v>0</v>
      </c>
      <c r="F15" s="268">
        <f t="shared" si="2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9.75">
      <c r="A16" s="207"/>
      <c r="B16" s="198">
        <f t="shared" si="1"/>
        <v>43930</v>
      </c>
      <c r="C16" s="199">
        <f t="shared" si="0"/>
        <v>5</v>
      </c>
      <c r="D16" s="200">
        <v>0</v>
      </c>
      <c r="E16" s="200">
        <v>0</v>
      </c>
      <c r="F16" s="268">
        <f t="shared" si="2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9.75">
      <c r="A17" s="207"/>
      <c r="B17" s="198">
        <f t="shared" si="1"/>
        <v>43931</v>
      </c>
      <c r="C17" s="199">
        <f t="shared" si="0"/>
        <v>6</v>
      </c>
      <c r="D17" s="200">
        <v>0</v>
      </c>
      <c r="E17" s="200">
        <v>0</v>
      </c>
      <c r="F17" s="268">
        <f t="shared" si="2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9.75">
      <c r="A18" s="207"/>
      <c r="B18" s="198">
        <f t="shared" si="1"/>
        <v>43932</v>
      </c>
      <c r="C18" s="199">
        <f t="shared" si="0"/>
        <v>7</v>
      </c>
      <c r="D18" s="200">
        <v>0</v>
      </c>
      <c r="E18" s="200">
        <v>0</v>
      </c>
      <c r="F18" s="268">
        <f t="shared" si="2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9.75">
      <c r="A19" s="207"/>
      <c r="B19" s="198">
        <f t="shared" si="1"/>
        <v>43933</v>
      </c>
      <c r="C19" s="199">
        <f t="shared" si="0"/>
        <v>1</v>
      </c>
      <c r="D19" s="200">
        <v>0</v>
      </c>
      <c r="E19" s="200">
        <v>0</v>
      </c>
      <c r="F19" s="268">
        <f t="shared" si="2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9.75">
      <c r="A20" s="207"/>
      <c r="B20" s="198">
        <f t="shared" si="1"/>
        <v>43934</v>
      </c>
      <c r="C20" s="199">
        <f t="shared" si="0"/>
        <v>2</v>
      </c>
      <c r="D20" s="200">
        <v>0</v>
      </c>
      <c r="E20" s="200">
        <v>0</v>
      </c>
      <c r="F20" s="268">
        <f t="shared" si="2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9.75">
      <c r="A21" s="207"/>
      <c r="B21" s="198">
        <f t="shared" si="1"/>
        <v>43935</v>
      </c>
      <c r="C21" s="199">
        <f t="shared" si="0"/>
        <v>3</v>
      </c>
      <c r="D21" s="200">
        <v>0</v>
      </c>
      <c r="E21" s="200">
        <v>0</v>
      </c>
      <c r="F21" s="268">
        <f t="shared" si="2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9.75">
      <c r="A22" s="207"/>
      <c r="B22" s="198">
        <f t="shared" si="1"/>
        <v>43936</v>
      </c>
      <c r="C22" s="199">
        <f t="shared" si="0"/>
        <v>4</v>
      </c>
      <c r="D22" s="200">
        <v>0</v>
      </c>
      <c r="E22" s="200">
        <v>0</v>
      </c>
      <c r="F22" s="268">
        <f t="shared" si="2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9.75">
      <c r="A23" s="207"/>
      <c r="B23" s="198">
        <f t="shared" si="1"/>
        <v>43937</v>
      </c>
      <c r="C23" s="199">
        <f t="shared" si="0"/>
        <v>5</v>
      </c>
      <c r="D23" s="200">
        <v>0</v>
      </c>
      <c r="E23" s="200">
        <v>0</v>
      </c>
      <c r="F23" s="268">
        <f t="shared" si="2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9.75">
      <c r="A24" s="207"/>
      <c r="B24" s="198">
        <f t="shared" si="1"/>
        <v>43938</v>
      </c>
      <c r="C24" s="199">
        <f t="shared" si="0"/>
        <v>6</v>
      </c>
      <c r="D24" s="200">
        <v>0</v>
      </c>
      <c r="E24" s="200">
        <v>0</v>
      </c>
      <c r="F24" s="268">
        <f t="shared" si="2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9.75">
      <c r="A25" s="207"/>
      <c r="B25" s="198">
        <f t="shared" si="1"/>
        <v>43939</v>
      </c>
      <c r="C25" s="199">
        <f t="shared" si="0"/>
        <v>7</v>
      </c>
      <c r="D25" s="200">
        <v>0</v>
      </c>
      <c r="E25" s="200">
        <v>0</v>
      </c>
      <c r="F25" s="268">
        <f t="shared" si="2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9.75">
      <c r="A26" s="207"/>
      <c r="B26" s="198">
        <f t="shared" si="1"/>
        <v>43940</v>
      </c>
      <c r="C26" s="199">
        <f t="shared" si="0"/>
        <v>1</v>
      </c>
      <c r="D26" s="200">
        <v>0</v>
      </c>
      <c r="E26" s="200">
        <v>0</v>
      </c>
      <c r="F26" s="268">
        <f t="shared" si="2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9.75">
      <c r="A27" s="207"/>
      <c r="B27" s="198">
        <f t="shared" si="1"/>
        <v>43941</v>
      </c>
      <c r="C27" s="199">
        <f t="shared" si="0"/>
        <v>2</v>
      </c>
      <c r="D27" s="200">
        <v>0</v>
      </c>
      <c r="E27" s="200">
        <v>0</v>
      </c>
      <c r="F27" s="268">
        <f t="shared" si="2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9.75">
      <c r="A28" s="207"/>
      <c r="B28" s="198">
        <f t="shared" si="1"/>
        <v>43942</v>
      </c>
      <c r="C28" s="199">
        <f t="shared" si="0"/>
        <v>3</v>
      </c>
      <c r="D28" s="200">
        <v>0</v>
      </c>
      <c r="E28" s="200">
        <v>0</v>
      </c>
      <c r="F28" s="268">
        <f t="shared" si="2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9.75">
      <c r="A29" s="207"/>
      <c r="B29" s="198">
        <f t="shared" si="1"/>
        <v>43943</v>
      </c>
      <c r="C29" s="199">
        <f t="shared" si="0"/>
        <v>4</v>
      </c>
      <c r="D29" s="200">
        <v>0</v>
      </c>
      <c r="E29" s="200">
        <v>0</v>
      </c>
      <c r="F29" s="268">
        <f t="shared" si="2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9.75">
      <c r="A30" s="207"/>
      <c r="B30" s="198">
        <f t="shared" si="1"/>
        <v>43944</v>
      </c>
      <c r="C30" s="199">
        <f t="shared" si="0"/>
        <v>5</v>
      </c>
      <c r="D30" s="200">
        <v>0</v>
      </c>
      <c r="E30" s="200">
        <v>0</v>
      </c>
      <c r="F30" s="268">
        <f t="shared" si="2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9.75">
      <c r="A31" s="207"/>
      <c r="B31" s="198">
        <f t="shared" si="1"/>
        <v>43945</v>
      </c>
      <c r="C31" s="199">
        <f t="shared" si="0"/>
        <v>6</v>
      </c>
      <c r="D31" s="200">
        <v>0</v>
      </c>
      <c r="E31" s="200">
        <v>0</v>
      </c>
      <c r="F31" s="268">
        <f t="shared" si="2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9.75">
      <c r="A32" s="207"/>
      <c r="B32" s="198">
        <f t="shared" si="1"/>
        <v>43946</v>
      </c>
      <c r="C32" s="199">
        <f t="shared" si="0"/>
        <v>7</v>
      </c>
      <c r="D32" s="200">
        <v>0</v>
      </c>
      <c r="E32" s="200">
        <v>0</v>
      </c>
      <c r="F32" s="268">
        <f t="shared" si="2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9.75">
      <c r="A33" s="207"/>
      <c r="B33" s="198">
        <f t="shared" si="1"/>
        <v>43947</v>
      </c>
      <c r="C33" s="199">
        <f t="shared" si="0"/>
        <v>1</v>
      </c>
      <c r="D33" s="200">
        <v>0</v>
      </c>
      <c r="E33" s="200">
        <v>0</v>
      </c>
      <c r="F33" s="268">
        <f t="shared" si="2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9.75">
      <c r="A34" s="207"/>
      <c r="B34" s="198">
        <f t="shared" si="1"/>
        <v>43948</v>
      </c>
      <c r="C34" s="199">
        <f t="shared" si="0"/>
        <v>2</v>
      </c>
      <c r="D34" s="200">
        <v>0</v>
      </c>
      <c r="E34" s="200">
        <v>0</v>
      </c>
      <c r="F34" s="268">
        <f t="shared" si="2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9.75">
      <c r="A35" s="207"/>
      <c r="B35" s="198">
        <f t="shared" si="1"/>
        <v>43949</v>
      </c>
      <c r="C35" s="199">
        <f t="shared" si="0"/>
        <v>3</v>
      </c>
      <c r="D35" s="200">
        <v>0</v>
      </c>
      <c r="E35" s="200">
        <v>0</v>
      </c>
      <c r="F35" s="268">
        <f t="shared" si="2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9.75">
      <c r="A36" s="207"/>
      <c r="B36" s="198">
        <f t="shared" si="1"/>
        <v>43950</v>
      </c>
      <c r="C36" s="199">
        <f t="shared" si="0"/>
        <v>4</v>
      </c>
      <c r="D36" s="200">
        <v>0</v>
      </c>
      <c r="E36" s="200">
        <v>0</v>
      </c>
      <c r="F36" s="268">
        <f t="shared" si="2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9.75">
      <c r="A37" s="207"/>
      <c r="B37" s="198">
        <f t="shared" si="1"/>
        <v>43951</v>
      </c>
      <c r="C37" s="199">
        <f t="shared" si="0"/>
        <v>5</v>
      </c>
      <c r="D37" s="200">
        <v>0</v>
      </c>
      <c r="E37" s="200">
        <v>0</v>
      </c>
      <c r="F37" s="268">
        <f t="shared" si="2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/>
      <c r="C38" s="216"/>
      <c r="D38" s="275"/>
      <c r="E38" s="591"/>
      <c r="F38" s="198"/>
      <c r="G38" s="198"/>
      <c r="H38" s="266"/>
      <c r="I38" s="198"/>
      <c r="J38" s="244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65" t="s">
        <v>309</v>
      </c>
      <c r="D40" s="665"/>
      <c r="E40" s="666"/>
      <c r="F40" s="576">
        <f>SUM(H39,PRODUCT(SUM(J40,J42,J43),Stammdaten!H28))</f>
        <v>0</v>
      </c>
      <c r="G40" s="648" t="s">
        <v>90</v>
      </c>
      <c r="H40" s="649"/>
      <c r="I40" s="650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9.75">
      <c r="A41" s="211"/>
      <c r="B41" s="592">
        <f>Ostern(gewJahr)</f>
        <v>43933</v>
      </c>
      <c r="C41" s="667" t="s">
        <v>115</v>
      </c>
      <c r="D41" s="667"/>
      <c r="E41" s="668"/>
      <c r="F41" s="282">
        <v>0</v>
      </c>
      <c r="G41" s="658" t="s">
        <v>113</v>
      </c>
      <c r="H41" s="659"/>
      <c r="I41" s="660"/>
      <c r="J41" s="205">
        <f>März!J41-J40</f>
        <v>30</v>
      </c>
      <c r="K41" s="208"/>
      <c r="L41" s="208"/>
      <c r="M41" s="208"/>
      <c r="N41" s="208"/>
      <c r="O41" s="207"/>
    </row>
    <row r="42" spans="1:15" s="210" customFormat="1" ht="9.75">
      <c r="A42" s="211"/>
      <c r="B42" s="188"/>
      <c r="C42" s="601" t="s">
        <v>119</v>
      </c>
      <c r="D42" s="601"/>
      <c r="E42" s="669"/>
      <c r="F42" s="283">
        <v>0</v>
      </c>
      <c r="G42" s="648" t="s">
        <v>91</v>
      </c>
      <c r="H42" s="649"/>
      <c r="I42" s="650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9.75">
      <c r="A43" s="211"/>
      <c r="B43" s="188"/>
      <c r="C43" s="670" t="s">
        <v>120</v>
      </c>
      <c r="D43" s="670"/>
      <c r="E43" s="671"/>
      <c r="F43" s="284">
        <v>0</v>
      </c>
      <c r="G43" s="648" t="s">
        <v>114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01" t="str">
        <f>Stammdaten!$F$23</f>
        <v>Sonderschicht I</v>
      </c>
      <c r="D44" s="601"/>
      <c r="E44" s="669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9.75">
      <c r="A45" s="211"/>
      <c r="B45" s="188"/>
      <c r="C45" s="601" t="str">
        <f>Stammdaten!$G$24</f>
        <v>Sonderschicht II</v>
      </c>
      <c r="D45" s="601"/>
      <c r="E45" s="669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61" t="s">
        <v>181</v>
      </c>
      <c r="D46" s="661"/>
      <c r="E46" s="662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63" t="s">
        <v>33</v>
      </c>
      <c r="D47" s="663"/>
      <c r="E47" s="664"/>
      <c r="F47" s="564">
        <f>Arbeitszeitübersicht!D8/24</f>
        <v>0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49"/>
      <c r="D49" s="649"/>
      <c r="E49" s="459" t="s">
        <v>249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11"/>
      <c r="D50" s="653"/>
      <c r="E50" s="653"/>
      <c r="F50" s="653"/>
      <c r="G50" s="11"/>
      <c r="H50" s="77"/>
      <c r="I50" s="11"/>
      <c r="J50" s="5"/>
      <c r="K50" s="5"/>
      <c r="L50" s="4"/>
    </row>
    <row r="51" spans="2:14" ht="12.75">
      <c r="B51" s="4"/>
      <c r="C51" s="5"/>
      <c r="D51" s="13"/>
      <c r="E51" s="11"/>
      <c r="F51" s="13"/>
      <c r="G51" s="13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11"/>
      <c r="F52" s="13"/>
      <c r="G52" s="13"/>
      <c r="H52" s="81"/>
      <c r="I52" s="5"/>
      <c r="J52" s="5"/>
      <c r="K52" s="5"/>
      <c r="L52" s="4"/>
      <c r="N52" s="101"/>
    </row>
    <row r="53" spans="2:12" ht="12.75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.5" customHeight="1"/>
  </sheetData>
  <sheetProtection/>
  <mergeCells count="16">
    <mergeCell ref="C40:E40"/>
    <mergeCell ref="G40:I40"/>
    <mergeCell ref="C41:E41"/>
    <mergeCell ref="C42:E42"/>
    <mergeCell ref="C43:E43"/>
    <mergeCell ref="J2:J6"/>
    <mergeCell ref="G42:I42"/>
    <mergeCell ref="G43:I43"/>
    <mergeCell ref="B7:C7"/>
    <mergeCell ref="G41:I41"/>
    <mergeCell ref="C44:E44"/>
    <mergeCell ref="C45:E45"/>
    <mergeCell ref="C46:E46"/>
    <mergeCell ref="C47:E47"/>
    <mergeCell ref="C49:D49"/>
    <mergeCell ref="D50:F50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OR($B10=$B$41,$B10=$B$41+1,$B10=$B$41-2)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OR($B8=$B$41,$B8=$B$41+1,$B8=$B$41-2)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B8">
    <cfRule type="expression" priority="12" dxfId="10" stopIfTrue="1">
      <formula>OR($B8=$B$41,$B8=$B$41+1,$B8=$B$41-2)</formula>
    </cfRule>
    <cfRule type="expression" priority="13" dxfId="138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OR($B9=$B$41,$B9=$B$41+1,$B9=$B$41-2)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conditionalFormatting sqref="B8:H37">
    <cfRule type="expression" priority="9" dxfId="10" stopIfTrue="1">
      <formula>OR($B8=$B$41,$B8=$B$41+1,$B8=$B$41-2)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2014</dc:title>
  <dc:subject/>
  <dc:creator>Gossens/Parmentier</dc:creator>
  <cp:keywords/>
  <dc:description/>
  <cp:lastModifiedBy>johannes</cp:lastModifiedBy>
  <cp:lastPrinted>2013-04-27T14:36:01Z</cp:lastPrinted>
  <dcterms:created xsi:type="dcterms:W3CDTF">2000-03-16T14:16:40Z</dcterms:created>
  <dcterms:modified xsi:type="dcterms:W3CDTF">2019-12-27T21:05:27Z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