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480" yWindow="0" windowWidth="21060" windowHeight="12180" activeTab="0"/>
  </bookViews>
  <sheets>
    <sheet name="Eingabe" sheetId="1" r:id="rId1"/>
    <sheet name="Berechnung" sheetId="2" r:id="rId2"/>
  </sheets>
  <definedNames>
    <definedName name="BearbJahr">'Berechnung'!$B$1</definedName>
  </definedNames>
  <calcPr fullCalcOnLoad="1" fullPrecision="0"/>
</workbook>
</file>

<file path=xl/comments2.xml><?xml version="1.0" encoding="utf-8"?>
<comments xmlns="http://schemas.openxmlformats.org/spreadsheetml/2006/main">
  <authors>
    <author>1HG</author>
    <author>Herbert Grom</author>
  </authors>
  <commentList>
    <comment ref="E27" authorId="0">
      <text>
        <r>
          <rPr>
            <b/>
            <sz val="14"/>
            <rFont val="Segoe UI"/>
            <family val="2"/>
          </rPr>
          <t>KinderFreibeträge</t>
        </r>
      </text>
    </comment>
    <comment ref="C37" authorId="0">
      <text>
        <r>
          <rPr>
            <b/>
            <sz val="12"/>
            <rFont val="Segoe UI"/>
            <family val="2"/>
          </rPr>
          <t>Zu versteuerndes Einkommen</t>
        </r>
      </text>
    </comment>
    <comment ref="F18" authorId="1">
      <text>
        <r>
          <rPr>
            <b/>
            <sz val="10"/>
            <rFont val="Segoe UI"/>
            <family val="2"/>
          </rPr>
          <t xml:space="preserve">Basis </t>
        </r>
        <r>
          <rPr>
            <b/>
            <sz val="11"/>
            <color indexed="10"/>
            <rFont val="Segoe UI"/>
            <family val="2"/>
          </rPr>
          <t>2015</t>
        </r>
        <r>
          <rPr>
            <b/>
            <sz val="10"/>
            <rFont val="Segoe UI"/>
            <family val="2"/>
          </rPr>
          <t xml:space="preserve"> ist </t>
        </r>
        <r>
          <rPr>
            <b/>
            <sz val="11"/>
            <color indexed="12"/>
            <rFont val="Segoe UI"/>
            <family val="2"/>
          </rPr>
          <t>0,60</t>
        </r>
        <r>
          <rPr>
            <b/>
            <sz val="10"/>
            <rFont val="Segoe UI"/>
            <family val="2"/>
          </rPr>
          <t xml:space="preserve">. 
Jedes folgende Jahr </t>
        </r>
        <r>
          <rPr>
            <b/>
            <sz val="11"/>
            <color indexed="12"/>
            <rFont val="Segoe UI"/>
            <family val="2"/>
          </rPr>
          <t>+</t>
        </r>
        <r>
          <rPr>
            <b/>
            <sz val="10"/>
            <rFont val="Segoe UI"/>
            <family val="2"/>
          </rPr>
          <t xml:space="preserve"> </t>
        </r>
        <r>
          <rPr>
            <b/>
            <sz val="11"/>
            <color indexed="12"/>
            <rFont val="Segoe UI"/>
            <family val="2"/>
          </rPr>
          <t>0,04</t>
        </r>
      </text>
    </comment>
    <comment ref="E15" authorId="0">
      <text>
        <r>
          <rPr>
            <b/>
            <sz val="14"/>
            <rFont val="Segoe UI"/>
            <family val="2"/>
          </rPr>
          <t>OST</t>
        </r>
      </text>
    </comment>
    <comment ref="E14" authorId="0">
      <text>
        <r>
          <rPr>
            <b/>
            <sz val="14"/>
            <rFont val="Segoe UI"/>
            <family val="2"/>
          </rPr>
          <t>WEST</t>
        </r>
      </text>
    </comment>
    <comment ref="B1" authorId="1">
      <text>
        <r>
          <rPr>
            <b/>
            <sz val="14"/>
            <rFont val="Segoe UI"/>
            <family val="2"/>
          </rPr>
          <t>Bearbeitungsjahr</t>
        </r>
      </text>
    </comment>
  </commentList>
</comments>
</file>

<file path=xl/sharedStrings.xml><?xml version="1.0" encoding="utf-8"?>
<sst xmlns="http://schemas.openxmlformats.org/spreadsheetml/2006/main" count="170" uniqueCount="128">
  <si>
    <t>KRV</t>
  </si>
  <si>
    <t>LZZ</t>
  </si>
  <si>
    <t>STKL</t>
  </si>
  <si>
    <t>ZKF</t>
  </si>
  <si>
    <t>JW</t>
  </si>
  <si>
    <t>MZTABFB</t>
  </si>
  <si>
    <t>KZTAB</t>
  </si>
  <si>
    <t>ANP</t>
  </si>
  <si>
    <t>SAP</t>
  </si>
  <si>
    <t>KFB</t>
  </si>
  <si>
    <t>ZTABFB</t>
  </si>
  <si>
    <t>ZVE</t>
  </si>
  <si>
    <t>X</t>
  </si>
  <si>
    <t>ST</t>
  </si>
  <si>
    <t>LSTJAHR</t>
  </si>
  <si>
    <t>ANTEIL1</t>
  </si>
  <si>
    <t>MST5-6</t>
  </si>
  <si>
    <t>ST1</t>
  </si>
  <si>
    <t>ST2</t>
  </si>
  <si>
    <t>DIFF</t>
  </si>
  <si>
    <t>MIST</t>
  </si>
  <si>
    <t>UMVSP</t>
  </si>
  <si>
    <t>JBMG</t>
  </si>
  <si>
    <t>MSOLZ</t>
  </si>
  <si>
    <t>SOLZFREI</t>
  </si>
  <si>
    <t>SOLZJ</t>
  </si>
  <si>
    <t>SOLZMIN</t>
  </si>
  <si>
    <t>BK</t>
  </si>
  <si>
    <t>ZRE4VP</t>
  </si>
  <si>
    <t>Lohnsteuer</t>
  </si>
  <si>
    <t>Solidaritätszuschlag</t>
  </si>
  <si>
    <t>Kirchensteuer</t>
  </si>
  <si>
    <t>LSTLZZ</t>
  </si>
  <si>
    <t>SOLZLZZ</t>
  </si>
  <si>
    <t>EFA</t>
  </si>
  <si>
    <t>ZVE, X</t>
  </si>
  <si>
    <t>UPEVP</t>
  </si>
  <si>
    <t>VSP1</t>
  </si>
  <si>
    <t>VSP2</t>
  </si>
  <si>
    <t>VHB</t>
  </si>
  <si>
    <t>VSPN</t>
  </si>
  <si>
    <t>Steuerpflichtiger Arbeitslohn</t>
  </si>
  <si>
    <t>€</t>
  </si>
  <si>
    <t>Steuerklasse 1 - 6</t>
  </si>
  <si>
    <t>Kirchensteuer (0=keine, 8=8%, 9=9%)</t>
  </si>
  <si>
    <t>%</t>
  </si>
  <si>
    <t>(Jahres)lohnsteuerfreibetrag auf LStKarte</t>
  </si>
  <si>
    <t>Abzüge</t>
  </si>
  <si>
    <t>Nettolohn</t>
  </si>
  <si>
    <t>http://www.parmentier.de/steuer/steuer01.htm</t>
  </si>
  <si>
    <t>(Jahres)Hinzurechnungen</t>
  </si>
  <si>
    <t>SOLZ</t>
  </si>
  <si>
    <t>MLSTJAHR</t>
  </si>
  <si>
    <t>VERGL</t>
  </si>
  <si>
    <t>MIT REICHST</t>
  </si>
  <si>
    <t xml:space="preserve">        Weitere Lohn- und Einkommensteuerberechnungsprogramme unter</t>
  </si>
  <si>
    <t>ZRE4J</t>
  </si>
  <si>
    <t>JLHINZU</t>
  </si>
  <si>
    <t>JLFREIB</t>
  </si>
  <si>
    <t>KV</t>
  </si>
  <si>
    <t>KV&gt;VHB?</t>
  </si>
  <si>
    <t>PV%</t>
  </si>
  <si>
    <t>FAKTOR F</t>
  </si>
  <si>
    <t>1,5% Arbeitslosenversicherung</t>
  </si>
  <si>
    <t>Programm mit Wunschnettoberechnung (mit Makro-Modul)</t>
  </si>
  <si>
    <r>
      <t xml:space="preserve">                    Wolfgang</t>
    </r>
    <r>
      <rPr>
        <sz val="9"/>
        <rFont val="Calibri"/>
        <family val="2"/>
      </rPr>
      <t>†</t>
    </r>
    <r>
      <rPr>
        <sz val="9"/>
        <rFont val="Arial"/>
        <family val="2"/>
      </rPr>
      <t xml:space="preserve"> und Johannes Parmentier Frankfurt am Main e-Mail: </t>
    </r>
  </si>
  <si>
    <t>steuer@parmentier.de</t>
  </si>
  <si>
    <t>9,35% Rentenversicherung</t>
  </si>
  <si>
    <t>BBGRV</t>
  </si>
  <si>
    <t>UPTAB16</t>
  </si>
  <si>
    <t>W1STKL5</t>
  </si>
  <si>
    <t>W2STKL5</t>
  </si>
  <si>
    <t>W3STKL5</t>
  </si>
  <si>
    <t>BBGKVPV</t>
  </si>
  <si>
    <t>KVSATZAG</t>
  </si>
  <si>
    <t>GFB</t>
  </si>
  <si>
    <t>TBSVORV</t>
  </si>
  <si>
    <t>MPARA</t>
  </si>
  <si>
    <t>Ehegattenfaktor nur für StKl IV</t>
  </si>
  <si>
    <t>Kinderfreibetrag (0, 0.5, 1, 1.5, 2.0, 2.5 usw)</t>
  </si>
  <si>
    <t>Krankenkassen-Zusatzbeitragsatz AN</t>
  </si>
  <si>
    <t>http://www.parmentier.de/steuer/lohnsteuer2015.xls</t>
  </si>
  <si>
    <r>
      <t xml:space="preserve">Gleiches Lohnsteuerprogramm für </t>
    </r>
    <r>
      <rPr>
        <sz val="10"/>
        <color indexed="10"/>
        <rFont val="Arial"/>
        <family val="2"/>
      </rPr>
      <t>2015</t>
    </r>
    <r>
      <rPr>
        <sz val="10"/>
        <rFont val="Arial"/>
        <family val="0"/>
      </rPr>
      <t xml:space="preserve"> unter</t>
    </r>
  </si>
  <si>
    <t>kinderlos u. über 23j. (PflegeV)  nein=0 ja=1</t>
  </si>
  <si>
    <t>Arbeitsstelle in Ostdeutschland  nein=0 ja=1</t>
  </si>
  <si>
    <t>und dabei in Sachsen                  nein=0 ja=1</t>
  </si>
  <si>
    <t>KVSATZ</t>
  </si>
  <si>
    <t>KV_Zusatz</t>
  </si>
  <si>
    <t>RV_Satz</t>
  </si>
  <si>
    <t>AV_Satz</t>
  </si>
  <si>
    <t>PV_Satz</t>
  </si>
  <si>
    <t>PV_Satz Sachsen</t>
  </si>
  <si>
    <t>Bezeichnung</t>
  </si>
  <si>
    <t>VHB / VSP2</t>
  </si>
  <si>
    <t>SOLI</t>
  </si>
  <si>
    <t>ZUSATZ Kinderlos</t>
  </si>
  <si>
    <t>Das Programm ist FreeWare. Es kann von jedem nach seinen Wünschen verändert werden. Das Layout ist einfachst gestaltet. 
Bei Ansicht unter Fensteroptionen Kästchen Formeln aktivieren.</t>
  </si>
  <si>
    <r>
      <t xml:space="preserve">Zum </t>
    </r>
    <r>
      <rPr>
        <b/>
        <sz val="10"/>
        <rFont val="Arial"/>
        <family val="2"/>
      </rPr>
      <t>Berechnen</t>
    </r>
    <r>
      <rPr>
        <sz val="10"/>
        <rFont val="Arial"/>
        <family val="0"/>
      </rPr>
      <t xml:space="preserve"> gewünschte Werte eingeben und 
</t>
    </r>
    <r>
      <rPr>
        <b/>
        <sz val="10"/>
        <color indexed="10"/>
        <rFont val="Arial"/>
        <family val="2"/>
      </rPr>
      <t>Eingabe mit "ENTER"-Taste abschließen.</t>
    </r>
  </si>
  <si>
    <t>Berechnet</t>
  </si>
  <si>
    <t>BMF - PAP - ANGABEN</t>
  </si>
  <si>
    <t>WERT</t>
  </si>
  <si>
    <t>Name</t>
  </si>
  <si>
    <t>Bereich</t>
  </si>
  <si>
    <t>SATZ</t>
  </si>
  <si>
    <t>ohne / mit Kind</t>
  </si>
  <si>
    <t>LST</t>
  </si>
  <si>
    <t>http://www.parmentier.de/steuer/lohnsteuer2016_netto.xls</t>
  </si>
  <si>
    <t>im Jahr=1, Monat=2, Woche=3, Tag=4</t>
  </si>
  <si>
    <t>allgemeine(=0) oder besondere (=1) Lsttabelle</t>
  </si>
  <si>
    <t>Altersentlastungsbetrag</t>
  </si>
  <si>
    <t>MRE4ALTE</t>
  </si>
  <si>
    <t>TAB4</t>
  </si>
  <si>
    <t>TAB5</t>
  </si>
  <si>
    <t>ALTEANTEIL</t>
  </si>
  <si>
    <t>ALTE</t>
  </si>
  <si>
    <t>ZRE4</t>
  </si>
  <si>
    <t>MRE4</t>
  </si>
  <si>
    <t>ZZX</t>
  </si>
  <si>
    <t>Krankenversicherungsbeitragssatz bzw. PKV-Basisprämie in €</t>
  </si>
  <si>
    <t>PKV</t>
  </si>
  <si>
    <t>Arbeitgeberzuschuss zur privaten KV  nein=0, ja=1</t>
  </si>
  <si>
    <r>
      <rPr>
        <b/>
        <sz val="10"/>
        <color indexed="12"/>
        <rFont val="Arial"/>
        <family val="2"/>
      </rPr>
      <t>KV-Beitragssatz ohne Zusatzbeitrag eingeben!</t>
    </r>
    <r>
      <rPr>
        <sz val="10"/>
        <rFont val="Arial"/>
        <family val="0"/>
      </rPr>
      <t xml:space="preserve">
(seit 2011 KV-Beitragssatz 14,6%, reduz. 14,0%) ) bzw. PKV-Basisprämie (incl. PV). Ohne Nachweis 0 eingeben.</t>
    </r>
  </si>
  <si>
    <t>KVSATZ AG</t>
  </si>
  <si>
    <t>FAKTOR LZZ</t>
  </si>
  <si>
    <t>FLZZ</t>
  </si>
  <si>
    <r>
      <t xml:space="preserve">Gleiches Lohnsteuerprogramm für Dez </t>
    </r>
    <r>
      <rPr>
        <sz val="10"/>
        <color indexed="10"/>
        <rFont val="Arial"/>
        <family val="2"/>
      </rPr>
      <t>2015</t>
    </r>
    <r>
      <rPr>
        <sz val="10"/>
        <rFont val="Arial"/>
        <family val="0"/>
      </rPr>
      <t xml:space="preserve"> unter</t>
    </r>
  </si>
  <si>
    <t>http://www.parmentier.de/steuer/lohnsteuerDez2015.xls</t>
  </si>
  <si>
    <t>Stand 11.07.2016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</si>
</sst>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"/>
    <numFmt numFmtId="166" formatCode="0.000"/>
    <numFmt numFmtId="167" formatCode="_-* #,##0.00\ [$€-1]_-;\-* #,##0.00\ [$€-1]_-;_-* &quot;-&quot;??\ [$€-1]_-"/>
    <numFmt numFmtId="168" formatCode="#,##0.00_ ;\-#,##0.00\ "/>
    <numFmt numFmtId="169" formatCode="0.000%"/>
    <numFmt numFmtId="170" formatCode="0.00000_ ;\-0.00000\ "/>
    <numFmt numFmtId="171" formatCode="0_ ;\-0\ 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2"/>
      <color indexed="18"/>
      <name val="Arial"/>
      <family val="2"/>
    </font>
    <font>
      <sz val="12"/>
      <color indexed="58"/>
      <name val="Arial"/>
      <family val="2"/>
    </font>
    <font>
      <b/>
      <sz val="14"/>
      <name val="Arial"/>
      <family val="2"/>
    </font>
    <font>
      <b/>
      <sz val="10"/>
      <name val="Segoe UI"/>
      <family val="2"/>
    </font>
    <font>
      <b/>
      <sz val="11"/>
      <color indexed="12"/>
      <name val="Segoe UI"/>
      <family val="2"/>
    </font>
    <font>
      <b/>
      <sz val="11"/>
      <color indexed="10"/>
      <name val="Segoe UI"/>
      <family val="2"/>
    </font>
    <font>
      <b/>
      <sz val="14"/>
      <name val="Segoe UI"/>
      <family val="2"/>
    </font>
    <font>
      <b/>
      <sz val="12"/>
      <name val="Segoe UI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2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20"/>
      <color theme="0"/>
      <name val="Arial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DB50A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29" borderId="4" applyNumberFormat="0" applyFont="0" applyAlignment="0" applyProtection="0"/>
    <xf numFmtId="0" fontId="5" fillId="0" borderId="0" applyNumberFormat="0" applyFill="0" applyBorder="0" applyAlignment="0" applyProtection="0"/>
    <xf numFmtId="0" fontId="54" fillId="30" borderId="0" applyNumberFormat="0" applyBorder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8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2" fontId="0" fillId="0" borderId="0" xfId="0" applyNumberFormat="1" applyFill="1" applyAlignment="1" applyProtection="1">
      <alignment/>
      <protection hidden="1"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vertical="top"/>
    </xf>
    <xf numFmtId="0" fontId="0" fillId="0" borderId="0" xfId="0" applyFont="1" applyAlignment="1">
      <alignment horizontal="center"/>
    </xf>
    <xf numFmtId="0" fontId="1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3" fillId="34" borderId="13" xfId="0" applyFont="1" applyFill="1" applyBorder="1" applyAlignment="1">
      <alignment/>
    </xf>
    <xf numFmtId="4" fontId="63" fillId="34" borderId="14" xfId="0" applyNumberFormat="1" applyFont="1" applyFill="1" applyBorder="1" applyAlignment="1">
      <alignment/>
    </xf>
    <xf numFmtId="0" fontId="64" fillId="34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14" fillId="0" borderId="15" xfId="0" applyFont="1" applyBorder="1" applyAlignment="1">
      <alignment horizontal="right"/>
    </xf>
    <xf numFmtId="0" fontId="14" fillId="0" borderId="10" xfId="0" applyFont="1" applyFill="1" applyBorder="1" applyAlignment="1">
      <alignment/>
    </xf>
    <xf numFmtId="4" fontId="14" fillId="0" borderId="1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1" xfId="0" applyNumberFormat="1" applyFont="1" applyBorder="1" applyAlignment="1">
      <alignment/>
    </xf>
    <xf numFmtId="0" fontId="13" fillId="0" borderId="0" xfId="0" applyFont="1" applyAlignment="1">
      <alignment horizontal="center"/>
    </xf>
    <xf numFmtId="167" fontId="13" fillId="0" borderId="0" xfId="0" applyNumberFormat="1" applyFont="1" applyAlignment="1">
      <alignment horizontal="center"/>
    </xf>
    <xf numFmtId="0" fontId="16" fillId="0" borderId="10" xfId="0" applyFont="1" applyBorder="1" applyAlignment="1">
      <alignment/>
    </xf>
    <xf numFmtId="166" fontId="13" fillId="0" borderId="11" xfId="0" applyNumberFormat="1" applyFont="1" applyBorder="1" applyAlignment="1">
      <alignment/>
    </xf>
    <xf numFmtId="0" fontId="13" fillId="0" borderId="10" xfId="0" applyFont="1" applyFill="1" applyBorder="1" applyAlignment="1">
      <alignment/>
    </xf>
    <xf numFmtId="2" fontId="13" fillId="0" borderId="11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16" xfId="0" applyFont="1" applyBorder="1" applyAlignment="1">
      <alignment/>
    </xf>
    <xf numFmtId="2" fontId="13" fillId="0" borderId="17" xfId="0" applyNumberFormat="1" applyFont="1" applyBorder="1" applyAlignment="1">
      <alignment/>
    </xf>
    <xf numFmtId="0" fontId="13" fillId="0" borderId="18" xfId="0" applyFont="1" applyBorder="1" applyAlignment="1">
      <alignment horizontal="center"/>
    </xf>
    <xf numFmtId="0" fontId="14" fillId="35" borderId="10" xfId="0" applyFont="1" applyFill="1" applyBorder="1" applyAlignment="1">
      <alignment horizontal="right"/>
    </xf>
    <xf numFmtId="168" fontId="13" fillId="35" borderId="10" xfId="60" applyNumberFormat="1" applyFont="1" applyFill="1" applyBorder="1" applyAlignment="1">
      <alignment/>
    </xf>
    <xf numFmtId="0" fontId="13" fillId="35" borderId="0" xfId="0" applyFont="1" applyFill="1" applyAlignment="1">
      <alignment horizontal="center"/>
    </xf>
    <xf numFmtId="0" fontId="14" fillId="35" borderId="15" xfId="0" applyFont="1" applyFill="1" applyBorder="1" applyAlignment="1">
      <alignment horizontal="right"/>
    </xf>
    <xf numFmtId="168" fontId="13" fillId="35" borderId="15" xfId="60" applyNumberFormat="1" applyFont="1" applyFill="1" applyBorder="1" applyAlignment="1">
      <alignment/>
    </xf>
    <xf numFmtId="0" fontId="13" fillId="35" borderId="19" xfId="0" applyFont="1" applyFill="1" applyBorder="1" applyAlignment="1">
      <alignment horizontal="center"/>
    </xf>
    <xf numFmtId="0" fontId="14" fillId="36" borderId="13" xfId="0" applyFont="1" applyFill="1" applyBorder="1" applyAlignment="1">
      <alignment horizontal="right"/>
    </xf>
    <xf numFmtId="4" fontId="17" fillId="36" borderId="12" xfId="0" applyNumberFormat="1" applyFont="1" applyFill="1" applyBorder="1" applyAlignment="1">
      <alignment/>
    </xf>
    <xf numFmtId="0" fontId="17" fillId="36" borderId="19" xfId="0" applyFont="1" applyFill="1" applyBorder="1" applyAlignment="1">
      <alignment horizontal="center"/>
    </xf>
    <xf numFmtId="4" fontId="17" fillId="36" borderId="14" xfId="0" applyNumberFormat="1" applyFont="1" applyFill="1" applyBorder="1" applyAlignment="1">
      <alignment/>
    </xf>
    <xf numFmtId="0" fontId="17" fillId="36" borderId="20" xfId="0" applyFont="1" applyFill="1" applyBorder="1" applyAlignment="1">
      <alignment horizontal="center"/>
    </xf>
    <xf numFmtId="2" fontId="17" fillId="36" borderId="14" xfId="0" applyNumberFormat="1" applyFont="1" applyFill="1" applyBorder="1" applyAlignment="1">
      <alignment/>
    </xf>
    <xf numFmtId="4" fontId="13" fillId="0" borderId="12" xfId="0" applyNumberFormat="1" applyFont="1" applyBorder="1" applyAlignment="1">
      <alignment/>
    </xf>
    <xf numFmtId="0" fontId="13" fillId="0" borderId="19" xfId="0" applyFont="1" applyBorder="1" applyAlignment="1">
      <alignment horizontal="center"/>
    </xf>
    <xf numFmtId="0" fontId="18" fillId="37" borderId="13" xfId="0" applyFont="1" applyFill="1" applyBorder="1" applyAlignment="1">
      <alignment horizontal="centerContinuous"/>
    </xf>
    <xf numFmtId="0" fontId="18" fillId="37" borderId="14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12" xfId="53" applyFont="1" applyFill="1" applyBorder="1" applyAlignment="1">
      <alignment vertical="center"/>
      <protection/>
    </xf>
    <xf numFmtId="0" fontId="0" fillId="0" borderId="14" xfId="53" applyFont="1" applyFill="1" applyBorder="1" applyAlignment="1">
      <alignment vertical="center"/>
      <protection/>
    </xf>
    <xf numFmtId="0" fontId="0" fillId="0" borderId="21" xfId="53" applyFont="1" applyFill="1" applyBorder="1" applyAlignment="1">
      <alignment vertical="center"/>
      <protection/>
    </xf>
    <xf numFmtId="0" fontId="11" fillId="38" borderId="22" xfId="0" applyFont="1" applyFill="1" applyBorder="1" applyAlignment="1">
      <alignment horizontal="centerContinuous" vertical="center"/>
    </xf>
    <xf numFmtId="0" fontId="0" fillId="38" borderId="23" xfId="0" applyFill="1" applyBorder="1" applyAlignment="1">
      <alignment horizontal="centerContinuous" vertical="center"/>
    </xf>
    <xf numFmtId="0" fontId="0" fillId="38" borderId="23" xfId="0" applyFill="1" applyBorder="1" applyAlignment="1">
      <alignment horizontal="centerContinuous"/>
    </xf>
    <xf numFmtId="0" fontId="0" fillId="0" borderId="24" xfId="53" applyFont="1" applyFill="1" applyBorder="1" applyAlignment="1">
      <alignment vertical="center"/>
      <protection/>
    </xf>
    <xf numFmtId="0" fontId="7" fillId="33" borderId="10" xfId="0" applyFont="1" applyFill="1" applyBorder="1" applyAlignment="1">
      <alignment horizontal="center"/>
    </xf>
    <xf numFmtId="0" fontId="0" fillId="0" borderId="0" xfId="0" applyAlignment="1">
      <alignment vertical="center"/>
    </xf>
    <xf numFmtId="169" fontId="0" fillId="39" borderId="13" xfId="53" applyNumberFormat="1" applyFont="1" applyFill="1" applyBorder="1" applyAlignment="1">
      <alignment horizontal="right" vertical="center" indent="1"/>
      <protection/>
    </xf>
    <xf numFmtId="169" fontId="0" fillId="40" borderId="13" xfId="53" applyNumberFormat="1" applyFont="1" applyFill="1" applyBorder="1" applyAlignment="1">
      <alignment horizontal="right" vertical="center" indent="1"/>
      <protection/>
    </xf>
    <xf numFmtId="10" fontId="0" fillId="40" borderId="14" xfId="53" applyNumberFormat="1" applyFont="1" applyFill="1" applyBorder="1" applyAlignment="1">
      <alignment horizontal="right" vertical="center" indent="1"/>
      <protection/>
    </xf>
    <xf numFmtId="10" fontId="0" fillId="40" borderId="12" xfId="53" applyNumberFormat="1" applyFont="1" applyFill="1" applyBorder="1" applyAlignment="1">
      <alignment horizontal="right" vertical="center" indent="1"/>
      <protection/>
    </xf>
    <xf numFmtId="3" fontId="0" fillId="40" borderId="12" xfId="53" applyNumberFormat="1" applyFont="1" applyFill="1" applyBorder="1" applyAlignment="1" applyProtection="1">
      <alignment horizontal="right" indent="1"/>
      <protection hidden="1"/>
    </xf>
    <xf numFmtId="3" fontId="0" fillId="40" borderId="14" xfId="53" applyNumberFormat="1" applyFont="1" applyFill="1" applyBorder="1" applyAlignment="1" applyProtection="1">
      <alignment horizontal="right" indent="1"/>
      <protection hidden="1"/>
    </xf>
    <xf numFmtId="3" fontId="0" fillId="40" borderId="12" xfId="53" applyNumberFormat="1" applyFont="1" applyFill="1" applyBorder="1" applyAlignment="1" applyProtection="1">
      <alignment horizontal="right" indent="1"/>
      <protection hidden="1"/>
    </xf>
    <xf numFmtId="165" fontId="0" fillId="40" borderId="14" xfId="53" applyNumberFormat="1" applyFont="1" applyFill="1" applyBorder="1" applyAlignment="1">
      <alignment horizontal="right" vertical="center" indent="1"/>
      <protection/>
    </xf>
    <xf numFmtId="4" fontId="0" fillId="40" borderId="24" xfId="53" applyNumberFormat="1" applyFont="1" applyFill="1" applyBorder="1" applyAlignment="1">
      <alignment horizontal="right" vertical="center" indent="1"/>
      <protection/>
    </xf>
    <xf numFmtId="3" fontId="0" fillId="40" borderId="14" xfId="53" applyNumberFormat="1" applyFont="1" applyFill="1" applyBorder="1" applyAlignment="1" applyProtection="1">
      <alignment horizontal="right" vertical="center" indent="1"/>
      <protection hidden="1"/>
    </xf>
    <xf numFmtId="4" fontId="0" fillId="40" borderId="21" xfId="53" applyNumberFormat="1" applyFont="1" applyFill="1" applyBorder="1" applyAlignment="1" applyProtection="1">
      <alignment horizontal="right" vertical="center" indent="1"/>
      <protection hidden="1"/>
    </xf>
    <xf numFmtId="3" fontId="0" fillId="40" borderId="14" xfId="53" applyNumberFormat="1" applyFont="1" applyFill="1" applyBorder="1" applyAlignment="1">
      <alignment horizontal="right" vertical="center" indent="1"/>
      <protection/>
    </xf>
    <xf numFmtId="3" fontId="0" fillId="40" borderId="14" xfId="53" applyNumberFormat="1" applyFont="1" applyFill="1" applyBorder="1" applyAlignment="1" applyProtection="1">
      <alignment horizontal="right" indent="1"/>
      <protection hidden="1"/>
    </xf>
    <xf numFmtId="3" fontId="0" fillId="40" borderId="24" xfId="53" applyNumberFormat="1" applyFont="1" applyFill="1" applyBorder="1" applyAlignment="1">
      <alignment horizontal="right" vertical="center" indent="1"/>
      <protection/>
    </xf>
    <xf numFmtId="3" fontId="0" fillId="40" borderId="21" xfId="53" applyNumberFormat="1" applyFont="1" applyFill="1" applyBorder="1" applyAlignment="1">
      <alignment horizontal="right" vertical="center" indent="1"/>
      <protection/>
    </xf>
    <xf numFmtId="3" fontId="0" fillId="40" borderId="12" xfId="53" applyNumberFormat="1" applyFont="1" applyFill="1" applyBorder="1" applyAlignment="1">
      <alignment horizontal="right" vertical="center" indent="1"/>
      <protection/>
    </xf>
    <xf numFmtId="4" fontId="0" fillId="40" borderId="12" xfId="53" applyNumberFormat="1" applyFont="1" applyFill="1" applyBorder="1" applyAlignment="1" applyProtection="1">
      <alignment horizontal="right" vertical="center" indent="1"/>
      <protection hidden="1"/>
    </xf>
    <xf numFmtId="4" fontId="0" fillId="40" borderId="25" xfId="53" applyNumberFormat="1" applyFont="1" applyFill="1" applyBorder="1" applyAlignment="1" applyProtection="1">
      <alignment horizontal="right" vertical="center" indent="1"/>
      <protection hidden="1"/>
    </xf>
    <xf numFmtId="4" fontId="0" fillId="40" borderId="14" xfId="53" applyNumberFormat="1" applyFont="1" applyFill="1" applyBorder="1" applyAlignment="1" applyProtection="1">
      <alignment horizontal="right" vertical="center" indent="1"/>
      <protection hidden="1"/>
    </xf>
    <xf numFmtId="0" fontId="14" fillId="37" borderId="20" xfId="53" applyFont="1" applyFill="1" applyBorder="1" applyAlignment="1" applyProtection="1">
      <alignment horizontal="centerContinuous"/>
      <protection hidden="1"/>
    </xf>
    <xf numFmtId="0" fontId="14" fillId="37" borderId="13" xfId="53" applyFont="1" applyFill="1" applyBorder="1" applyAlignment="1" applyProtection="1">
      <alignment horizontal="centerContinuous"/>
      <protection hidden="1"/>
    </xf>
    <xf numFmtId="0" fontId="2" fillId="0" borderId="26" xfId="53" applyFont="1" applyFill="1" applyBorder="1" applyAlignment="1">
      <alignment/>
      <protection/>
    </xf>
    <xf numFmtId="0" fontId="0" fillId="0" borderId="11" xfId="53" applyFont="1" applyFill="1" applyBorder="1" applyAlignment="1">
      <alignment/>
      <protection/>
    </xf>
    <xf numFmtId="0" fontId="0" fillId="0" borderId="25" xfId="53" applyFont="1" applyFill="1" applyBorder="1" applyAlignment="1">
      <alignment/>
      <protection/>
    </xf>
    <xf numFmtId="0" fontId="2" fillId="0" borderId="11" xfId="53" applyFont="1" applyFill="1" applyBorder="1" applyAlignment="1">
      <alignment vertical="center"/>
      <protection/>
    </xf>
    <xf numFmtId="0" fontId="2" fillId="0" borderId="11" xfId="53" applyFont="1" applyFill="1" applyBorder="1" applyAlignment="1">
      <alignment/>
      <protection/>
    </xf>
    <xf numFmtId="0" fontId="2" fillId="0" borderId="25" xfId="53" applyFont="1" applyFill="1" applyBorder="1" applyAlignment="1">
      <alignment/>
      <protection/>
    </xf>
    <xf numFmtId="0" fontId="0" fillId="0" borderId="12" xfId="53" applyFont="1" applyFill="1" applyBorder="1" applyAlignment="1">
      <alignment/>
      <protection/>
    </xf>
    <xf numFmtId="0" fontId="0" fillId="0" borderId="14" xfId="53" applyFont="1" applyFill="1" applyBorder="1" applyAlignment="1">
      <alignment/>
      <protection/>
    </xf>
    <xf numFmtId="0" fontId="0" fillId="0" borderId="21" xfId="53" applyFont="1" applyFill="1" applyBorder="1" applyAlignment="1">
      <alignment/>
      <protection/>
    </xf>
    <xf numFmtId="0" fontId="0" fillId="0" borderId="26" xfId="53" applyFont="1" applyFill="1" applyBorder="1" applyAlignment="1">
      <alignment/>
      <protection/>
    </xf>
    <xf numFmtId="169" fontId="0" fillId="0" borderId="0" xfId="0" applyNumberFormat="1" applyAlignment="1">
      <alignment/>
    </xf>
    <xf numFmtId="0" fontId="24" fillId="37" borderId="27" xfId="0" applyFont="1" applyFill="1" applyBorder="1" applyAlignment="1">
      <alignment horizontal="centerContinuous" vertical="center"/>
    </xf>
    <xf numFmtId="0" fontId="24" fillId="37" borderId="27" xfId="53" applyFont="1" applyFill="1" applyBorder="1" applyAlignment="1" applyProtection="1">
      <alignment horizontal="centerContinuous"/>
      <protection hidden="1"/>
    </xf>
    <xf numFmtId="0" fontId="25" fillId="37" borderId="17" xfId="0" applyFont="1" applyFill="1" applyBorder="1" applyAlignment="1">
      <alignment/>
    </xf>
    <xf numFmtId="0" fontId="25" fillId="37" borderId="28" xfId="0" applyFont="1" applyFill="1" applyBorder="1" applyAlignment="1">
      <alignment horizontal="center"/>
    </xf>
    <xf numFmtId="0" fontId="25" fillId="37" borderId="17" xfId="0" applyFont="1" applyFill="1" applyBorder="1" applyAlignment="1">
      <alignment horizontal="right"/>
    </xf>
    <xf numFmtId="0" fontId="25" fillId="37" borderId="21" xfId="53" applyFont="1" applyFill="1" applyBorder="1" applyAlignment="1" applyProtection="1">
      <alignment/>
      <protection hidden="1"/>
    </xf>
    <xf numFmtId="0" fontId="25" fillId="37" borderId="21" xfId="0" applyFont="1" applyFill="1" applyBorder="1" applyAlignment="1">
      <alignment horizontal="center"/>
    </xf>
    <xf numFmtId="0" fontId="15" fillId="41" borderId="29" xfId="0" applyFont="1" applyFill="1" applyBorder="1" applyAlignment="1" applyProtection="1">
      <alignment/>
      <protection hidden="1"/>
    </xf>
    <xf numFmtId="0" fontId="65" fillId="42" borderId="18" xfId="0" applyFont="1" applyFill="1" applyBorder="1" applyAlignment="1">
      <alignment horizontal="center" vertical="center"/>
    </xf>
    <xf numFmtId="0" fontId="14" fillId="41" borderId="30" xfId="0" applyFont="1" applyFill="1" applyBorder="1" applyAlignment="1" applyProtection="1">
      <alignment/>
      <protection hidden="1"/>
    </xf>
    <xf numFmtId="0" fontId="2" fillId="43" borderId="31" xfId="0" applyFont="1" applyFill="1" applyBorder="1" applyAlignment="1" applyProtection="1">
      <alignment/>
      <protection hidden="1"/>
    </xf>
    <xf numFmtId="0" fontId="0" fillId="40" borderId="32" xfId="0" applyFill="1" applyBorder="1" applyAlignment="1" applyProtection="1">
      <alignment/>
      <protection hidden="1"/>
    </xf>
    <xf numFmtId="2" fontId="0" fillId="0" borderId="33" xfId="0" applyNumberForma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170" fontId="0" fillId="0" borderId="33" xfId="0" applyNumberFormat="1" applyFill="1" applyBorder="1" applyAlignment="1" applyProtection="1">
      <alignment/>
      <protection hidden="1"/>
    </xf>
    <xf numFmtId="0" fontId="2" fillId="43" borderId="33" xfId="0" applyFont="1" applyFill="1" applyBorder="1" applyAlignment="1" applyProtection="1">
      <alignment/>
      <protection hidden="1"/>
    </xf>
    <xf numFmtId="0" fontId="0" fillId="40" borderId="0" xfId="0" applyFill="1" applyBorder="1" applyAlignment="1" applyProtection="1">
      <alignment/>
      <protection hidden="1"/>
    </xf>
    <xf numFmtId="0" fontId="0" fillId="0" borderId="33" xfId="0" applyBorder="1" applyAlignment="1">
      <alignment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40" borderId="34" xfId="0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" fontId="0" fillId="0" borderId="10" xfId="0" applyNumberFormat="1" applyFill="1" applyBorder="1" applyAlignment="1" applyProtection="1">
      <alignment horizontal="right"/>
      <protection hidden="1"/>
    </xf>
    <xf numFmtId="1" fontId="0" fillId="0" borderId="10" xfId="0" applyNumberFormat="1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 horizontal="right"/>
      <protection hidden="1"/>
    </xf>
    <xf numFmtId="165" fontId="0" fillId="0" borderId="10" xfId="0" applyNumberFormat="1" applyFill="1" applyBorder="1" applyAlignment="1" applyProtection="1">
      <alignment horizontal="right"/>
      <protection hidden="1"/>
    </xf>
    <xf numFmtId="2" fontId="0" fillId="0" borderId="10" xfId="0" applyNumberFormat="1" applyFill="1" applyBorder="1" applyAlignment="1" applyProtection="1">
      <alignment/>
      <protection hidden="1"/>
    </xf>
    <xf numFmtId="0" fontId="0" fillId="40" borderId="10" xfId="0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3" fontId="0" fillId="40" borderId="10" xfId="0" applyNumberFormat="1" applyFill="1" applyBorder="1" applyAlignment="1" applyProtection="1">
      <alignment/>
      <protection hidden="1"/>
    </xf>
    <xf numFmtId="4" fontId="0" fillId="0" borderId="10" xfId="0" applyNumberFormat="1" applyFill="1" applyBorder="1" applyAlignment="1" applyProtection="1">
      <alignment/>
      <protection hidden="1"/>
    </xf>
    <xf numFmtId="165" fontId="0" fillId="0" borderId="10" xfId="52" applyNumberFormat="1" applyFont="1" applyFill="1" applyBorder="1" applyAlignment="1" applyProtection="1">
      <alignment vertical="center"/>
      <protection hidden="1"/>
    </xf>
    <xf numFmtId="4" fontId="0" fillId="0" borderId="10" xfId="0" applyNumberFormat="1" applyFill="1" applyBorder="1" applyAlignment="1" applyProtection="1">
      <alignment vertical="center"/>
      <protection hidden="1"/>
    </xf>
    <xf numFmtId="3" fontId="0" fillId="40" borderId="10" xfId="0" applyNumberFormat="1" applyFont="1" applyFill="1" applyBorder="1" applyAlignment="1" applyProtection="1">
      <alignment/>
      <protection hidden="1"/>
    </xf>
    <xf numFmtId="4" fontId="0" fillId="40" borderId="10" xfId="0" applyNumberFormat="1" applyFill="1" applyBorder="1" applyAlignment="1" applyProtection="1">
      <alignment/>
      <protection hidden="1"/>
    </xf>
    <xf numFmtId="0" fontId="2" fillId="43" borderId="35" xfId="0" applyFont="1" applyFill="1" applyBorder="1" applyAlignment="1" applyProtection="1">
      <alignment/>
      <protection hidden="1"/>
    </xf>
    <xf numFmtId="0" fontId="0" fillId="40" borderId="19" xfId="0" applyFill="1" applyBorder="1" applyAlignment="1" applyProtection="1">
      <alignment/>
      <protection hidden="1"/>
    </xf>
    <xf numFmtId="3" fontId="0" fillId="40" borderId="15" xfId="0" applyNumberFormat="1" applyFill="1" applyBorder="1" applyAlignment="1" applyProtection="1">
      <alignment/>
      <protection hidden="1"/>
    </xf>
    <xf numFmtId="0" fontId="0" fillId="33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33" borderId="12" xfId="0" applyFont="1" applyFill="1" applyBorder="1" applyAlignment="1">
      <alignment horizontal="center" vertical="top"/>
    </xf>
    <xf numFmtId="0" fontId="0" fillId="0" borderId="0" xfId="0" applyAlignment="1">
      <alignment/>
    </xf>
    <xf numFmtId="0" fontId="13" fillId="0" borderId="10" xfId="0" applyFont="1" applyBorder="1" applyAlignment="1">
      <alignment wrapText="1"/>
    </xf>
    <xf numFmtId="0" fontId="13" fillId="33" borderId="33" xfId="0" applyFont="1" applyFill="1" applyBorder="1" applyAlignment="1">
      <alignment/>
    </xf>
    <xf numFmtId="0" fontId="13" fillId="0" borderId="0" xfId="0" applyFont="1" applyAlignment="1">
      <alignment/>
    </xf>
    <xf numFmtId="0" fontId="2" fillId="43" borderId="0" xfId="0" applyFont="1" applyFill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/>
      <protection hidden="1"/>
    </xf>
    <xf numFmtId="0" fontId="0" fillId="40" borderId="0" xfId="0" applyFill="1" applyAlignment="1" applyProtection="1">
      <alignment/>
      <protection hidden="1"/>
    </xf>
    <xf numFmtId="0" fontId="0" fillId="40" borderId="0" xfId="0" applyFont="1" applyFill="1" applyAlignment="1" applyProtection="1">
      <alignment/>
      <protection hidden="1"/>
    </xf>
    <xf numFmtId="0" fontId="0" fillId="40" borderId="0" xfId="0" applyFont="1" applyFill="1" applyBorder="1" applyAlignment="1" applyProtection="1">
      <alignment/>
      <protection hidden="1"/>
    </xf>
    <xf numFmtId="0" fontId="2" fillId="0" borderId="33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3" fillId="44" borderId="10" xfId="0" applyFont="1" applyFill="1" applyBorder="1" applyAlignment="1">
      <alignment/>
    </xf>
    <xf numFmtId="164" fontId="13" fillId="44" borderId="11" xfId="0" applyNumberFormat="1" applyFont="1" applyFill="1" applyBorder="1" applyAlignment="1">
      <alignment/>
    </xf>
    <xf numFmtId="0" fontId="13" fillId="44" borderId="0" xfId="0" applyFont="1" applyFill="1" applyAlignment="1">
      <alignment horizontal="center"/>
    </xf>
    <xf numFmtId="0" fontId="0" fillId="0" borderId="14" xfId="53" applyFont="1" applyFill="1" applyBorder="1" applyAlignment="1">
      <alignment vertical="center"/>
      <protection/>
    </xf>
    <xf numFmtId="10" fontId="0" fillId="40" borderId="14" xfId="0" applyNumberFormat="1" applyFill="1" applyBorder="1" applyAlignment="1">
      <alignment horizontal="center"/>
    </xf>
    <xf numFmtId="0" fontId="13" fillId="44" borderId="11" xfId="0" applyNumberFormat="1" applyFont="1" applyFill="1" applyBorder="1" applyAlignment="1">
      <alignment/>
    </xf>
    <xf numFmtId="178" fontId="0" fillId="40" borderId="15" xfId="0" applyNumberFormat="1" applyFill="1" applyBorder="1" applyAlignment="1" applyProtection="1">
      <alignment/>
      <protection hidden="1"/>
    </xf>
    <xf numFmtId="0" fontId="0" fillId="33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44" borderId="11" xfId="0" applyFont="1" applyFill="1" applyBorder="1" applyAlignment="1">
      <alignment horizontal="center" vertical="top" wrapText="1"/>
    </xf>
    <xf numFmtId="0" fontId="0" fillId="44" borderId="11" xfId="0" applyFill="1" applyBorder="1" applyAlignment="1">
      <alignment horizontal="center" vertical="top" wrapText="1"/>
    </xf>
    <xf numFmtId="0" fontId="0" fillId="44" borderId="11" xfId="0" applyFill="1" applyBorder="1" applyAlignment="1">
      <alignment horizontal="center" wrapText="1"/>
    </xf>
    <xf numFmtId="0" fontId="0" fillId="33" borderId="26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0" fillId="45" borderId="0" xfId="0" applyFont="1" applyFill="1" applyAlignment="1">
      <alignment horizontal="right"/>
    </xf>
    <xf numFmtId="0" fontId="5" fillId="45" borderId="0" xfId="48" applyFill="1" applyAlignment="1" applyProtection="1">
      <alignment/>
      <protection/>
    </xf>
    <xf numFmtId="0" fontId="0" fillId="46" borderId="0" xfId="0" applyFill="1" applyAlignment="1">
      <alignment horizontal="right"/>
    </xf>
    <xf numFmtId="0" fontId="5" fillId="46" borderId="0" xfId="48" applyFill="1" applyAlignment="1" applyProtection="1">
      <alignment/>
      <protection/>
    </xf>
    <xf numFmtId="0" fontId="0" fillId="46" borderId="0" xfId="0" applyFill="1" applyAlignment="1">
      <alignment/>
    </xf>
    <xf numFmtId="0" fontId="8" fillId="45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5" fillId="45" borderId="0" xfId="48" applyFill="1" applyAlignment="1" applyProtection="1">
      <alignment horizontal="left"/>
      <protection/>
    </xf>
    <xf numFmtId="0" fontId="0" fillId="45" borderId="0" xfId="0" applyFont="1" applyFill="1" applyAlignment="1">
      <alignment horizontal="right"/>
    </xf>
    <xf numFmtId="0" fontId="8" fillId="45" borderId="0" xfId="0" applyFont="1" applyFill="1" applyBorder="1" applyAlignment="1">
      <alignment horizontal="right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Hyperlink" xfId="48"/>
    <cellStyle name="Neutral" xfId="49"/>
    <cellStyle name="Percent" xfId="50"/>
    <cellStyle name="Schlecht" xfId="51"/>
    <cellStyle name="Standard 2 2" xfId="52"/>
    <cellStyle name="Standard 2 2 2" xfId="53"/>
    <cellStyle name="Titel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5A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D5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rmentier.ffm@t-online.de" TargetMode="External" /><Relationship Id="rId2" Type="http://schemas.openxmlformats.org/officeDocument/2006/relationships/hyperlink" Target="steuer01.htm_x0000_" TargetMode="External" /><Relationship Id="rId3" Type="http://schemas.openxmlformats.org/officeDocument/2006/relationships/hyperlink" Target="mailto:steuer@parmentier.de" TargetMode="External" /><Relationship Id="rId4" Type="http://schemas.openxmlformats.org/officeDocument/2006/relationships/hyperlink" Target="http://www.parmentier.de/steuer/lohnsteuer2015.xls" TargetMode="External" /><Relationship Id="rId5" Type="http://schemas.openxmlformats.org/officeDocument/2006/relationships/hyperlink" Target="../lohnsteuer2013_netto.xls" TargetMode="External" /><Relationship Id="rId6" Type="http://schemas.openxmlformats.org/officeDocument/2006/relationships/hyperlink" Target="http://www.parmentier.de/steuer/lohnsteuer2015_netto.xls" TargetMode="External" /><Relationship Id="rId7" Type="http://schemas.openxmlformats.org/officeDocument/2006/relationships/hyperlink" Target="http://www.parmentier.de/steuer/lohnsteuerDez2015.xls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showGridLines="0" tabSelected="1" workbookViewId="0" topLeftCell="A1">
      <selection activeCell="B2" sqref="B2"/>
    </sheetView>
  </sheetViews>
  <sheetFormatPr defaultColWidth="11.57421875" defaultRowHeight="12.75"/>
  <cols>
    <col min="1" max="1" width="56.28125" style="0" bestFit="1" customWidth="1"/>
    <col min="2" max="2" width="12.140625" style="0" bestFit="1" customWidth="1"/>
    <col min="3" max="3" width="3.28125" style="0" bestFit="1" customWidth="1"/>
    <col min="4" max="4" width="15.28125" style="0" customWidth="1"/>
    <col min="5" max="5" width="30.00390625" style="0" customWidth="1"/>
    <col min="6" max="6" width="2.7109375" style="0" customWidth="1"/>
    <col min="7" max="7" width="11.00390625" style="2" bestFit="1" customWidth="1"/>
    <col min="8" max="8" width="12.421875" style="1" bestFit="1" customWidth="1"/>
    <col min="9" max="9" width="9.140625" style="1" bestFit="1" customWidth="1"/>
    <col min="10" max="10" width="2.7109375" style="0" customWidth="1"/>
    <col min="11" max="11" width="16.421875" style="0" bestFit="1" customWidth="1"/>
    <col min="12" max="12" width="10.8515625" style="0" bestFit="1" customWidth="1"/>
    <col min="13" max="13" width="11.7109375" style="0" bestFit="1" customWidth="1"/>
    <col min="14" max="14" width="16.28125" style="0" bestFit="1" customWidth="1"/>
    <col min="15" max="16384" width="11.421875" style="0" customWidth="1"/>
  </cols>
  <sheetData>
    <row r="1" spans="1:5" ht="18.75" customHeight="1" thickBot="1">
      <c r="A1" s="51" t="str">
        <f>"Lohnsteuerberechnung "&amp;BearbJahr&amp;" mit Zellfunktionen"</f>
        <v>Lohnsteuerberechnung 2016 mit Zellfunktionen</v>
      </c>
      <c r="B1" s="52"/>
      <c r="C1" s="53"/>
      <c r="D1" s="53"/>
      <c r="E1" s="53"/>
    </row>
    <row r="2" spans="1:6" ht="15.75" thickTop="1">
      <c r="A2" s="16" t="s">
        <v>41</v>
      </c>
      <c r="B2" s="17">
        <v>3500</v>
      </c>
      <c r="C2" s="18" t="s">
        <v>42</v>
      </c>
      <c r="D2" s="7"/>
      <c r="E2" s="156" t="s">
        <v>96</v>
      </c>
      <c r="F2" s="5"/>
    </row>
    <row r="3" spans="1:5" ht="15">
      <c r="A3" s="19" t="s">
        <v>107</v>
      </c>
      <c r="B3" s="20">
        <v>2</v>
      </c>
      <c r="C3" s="21"/>
      <c r="D3" s="7"/>
      <c r="E3" s="152"/>
    </row>
    <row r="4" spans="1:5" ht="15">
      <c r="A4" s="19" t="s">
        <v>43</v>
      </c>
      <c r="B4" s="20">
        <v>1</v>
      </c>
      <c r="C4" s="22"/>
      <c r="D4" s="7"/>
      <c r="E4" s="152"/>
    </row>
    <row r="5" spans="1:5" ht="15">
      <c r="A5" s="23" t="s">
        <v>78</v>
      </c>
      <c r="B5" s="24">
        <v>1</v>
      </c>
      <c r="C5" s="22"/>
      <c r="D5" s="7"/>
      <c r="E5" s="157"/>
    </row>
    <row r="6" spans="1:5" ht="15">
      <c r="A6" s="19" t="s">
        <v>108</v>
      </c>
      <c r="B6" s="20">
        <v>0</v>
      </c>
      <c r="C6" s="22"/>
      <c r="D6" s="7"/>
      <c r="E6" s="157"/>
    </row>
    <row r="7" spans="1:5" ht="15">
      <c r="A7" s="19" t="s">
        <v>79</v>
      </c>
      <c r="B7" s="20">
        <v>0</v>
      </c>
      <c r="C7" s="21"/>
      <c r="D7" s="7"/>
      <c r="E7" s="157"/>
    </row>
    <row r="8" spans="1:5" ht="15">
      <c r="A8" s="19" t="s">
        <v>44</v>
      </c>
      <c r="B8" s="20">
        <v>0</v>
      </c>
      <c r="C8" s="21" t="s">
        <v>45</v>
      </c>
      <c r="D8" s="7"/>
      <c r="E8" s="129"/>
    </row>
    <row r="9" spans="1:5" ht="15">
      <c r="A9" s="144" t="s">
        <v>118</v>
      </c>
      <c r="B9" s="145">
        <v>14.6</v>
      </c>
      <c r="C9" s="146" t="s">
        <v>45</v>
      </c>
      <c r="D9" s="7"/>
      <c r="E9" s="153" t="s">
        <v>121</v>
      </c>
    </row>
    <row r="10" spans="1:5" ht="15">
      <c r="A10" s="144" t="s">
        <v>80</v>
      </c>
      <c r="B10" s="145">
        <v>1.1</v>
      </c>
      <c r="C10" s="146" t="s">
        <v>45</v>
      </c>
      <c r="D10" s="8"/>
      <c r="E10" s="154"/>
    </row>
    <row r="11" spans="1:5" ht="15">
      <c r="A11" s="144" t="s">
        <v>120</v>
      </c>
      <c r="B11" s="149">
        <v>0</v>
      </c>
      <c r="C11" s="146"/>
      <c r="D11" s="8"/>
      <c r="E11" s="154"/>
    </row>
    <row r="12" spans="1:5" ht="15">
      <c r="A12" s="19" t="s">
        <v>83</v>
      </c>
      <c r="B12" s="20">
        <v>0</v>
      </c>
      <c r="C12" s="21"/>
      <c r="D12" s="8"/>
      <c r="E12" s="154"/>
    </row>
    <row r="13" spans="1:5" ht="15">
      <c r="A13" s="19" t="s">
        <v>84</v>
      </c>
      <c r="B13" s="20">
        <v>0</v>
      </c>
      <c r="C13" s="21"/>
      <c r="D13" s="7"/>
      <c r="E13" s="155"/>
    </row>
    <row r="14" spans="1:5" ht="15">
      <c r="A14" s="19" t="s">
        <v>85</v>
      </c>
      <c r="B14" s="20">
        <v>0</v>
      </c>
      <c r="C14" s="21"/>
      <c r="D14" s="7"/>
      <c r="E14" s="155"/>
    </row>
    <row r="15" spans="1:5" s="135" customFormat="1" ht="15">
      <c r="A15" s="133" t="s">
        <v>109</v>
      </c>
      <c r="B15" s="20">
        <v>0</v>
      </c>
      <c r="C15" s="21"/>
      <c r="D15" s="134"/>
      <c r="E15" s="155"/>
    </row>
    <row r="16" spans="1:5" ht="15">
      <c r="A16" s="25" t="s">
        <v>50</v>
      </c>
      <c r="B16" s="26">
        <v>0</v>
      </c>
      <c r="C16" s="27" t="s">
        <v>42</v>
      </c>
      <c r="D16" s="6"/>
      <c r="E16" s="155"/>
    </row>
    <row r="17" spans="1:5" ht="15.75" thickBot="1">
      <c r="A17" s="28" t="s">
        <v>46</v>
      </c>
      <c r="B17" s="29">
        <v>0</v>
      </c>
      <c r="C17" s="30" t="s">
        <v>42</v>
      </c>
      <c r="D17" s="6"/>
      <c r="E17" s="155"/>
    </row>
    <row r="18" spans="1:5" ht="15">
      <c r="A18" s="31" t="s">
        <v>29</v>
      </c>
      <c r="B18" s="32">
        <f>Berechnung!C54/100</f>
        <v>578.5</v>
      </c>
      <c r="C18" s="33" t="s">
        <v>42</v>
      </c>
      <c r="D18" s="9"/>
      <c r="E18" s="130"/>
    </row>
    <row r="19" spans="1:5" ht="15">
      <c r="A19" s="31" t="s">
        <v>30</v>
      </c>
      <c r="B19" s="32">
        <f>Berechnung!C66/100</f>
        <v>31.81</v>
      </c>
      <c r="C19" s="33" t="s">
        <v>42</v>
      </c>
      <c r="D19" s="8"/>
      <c r="E19" s="151" t="s">
        <v>97</v>
      </c>
    </row>
    <row r="20" spans="1:5" ht="15">
      <c r="A20" s="34" t="s">
        <v>31</v>
      </c>
      <c r="B20" s="35">
        <f>ROUNDDOWN(Berechnung!C68*B8/10000,2)</f>
        <v>0</v>
      </c>
      <c r="C20" s="36" t="s">
        <v>42</v>
      </c>
      <c r="D20" s="8"/>
      <c r="E20" s="152"/>
    </row>
    <row r="21" spans="1:6" ht="15">
      <c r="A21" s="37" t="s">
        <v>67</v>
      </c>
      <c r="B21" s="38">
        <f>IF(B6=0,ROUND(IF(B3=1,IF(B2&gt;Berechnung!C9,Berechnung!C9,B2),IF(B3=2,IF(B2&gt;(Berechnung!C9/12),(Berechnung!C9/12),B2),IF(B3=3,IF(B2&gt;(Berechnung!C9/360*7),(Berechnung!C9/360*7),B2),IF(B2&gt;(Berechnung!C9/360),(Berechnung!C9/360),B2))))*0.0935,2),0)</f>
        <v>327.25</v>
      </c>
      <c r="C21" s="39" t="s">
        <v>42</v>
      </c>
      <c r="D21" s="8"/>
      <c r="E21" s="152"/>
      <c r="F21" s="3"/>
    </row>
    <row r="22" spans="1:5" ht="15">
      <c r="A22" s="37" t="str">
        <f>IF(B9=0,"Privat Krankenversichert ohne Nachweis",IF(B9&gt;20,"Basisprämie KV, AG-Anteil abgezogen",B9/2+B10&amp;" % Krankenversicherungsbeitrag"))</f>
        <v>8,4 % Krankenversicherungsbeitrag</v>
      </c>
      <c r="B22" s="40">
        <f>IF(B9&gt;20,IF(B11=0,B9*Berechnung!$C$69,B9/2*Berechnung!$C$69),IF(B9=0,0,ROUND(IF(B3=1,IF(B2&gt;Berechnung!F16,Berechnung!F16,B2),IF(B3=2,IF(B2&gt;(Berechnung!F16/12),(Berechnung!F16/12),B2),IF(B3=3,IF(B2&gt;(Berechnung!F16/360*7),(Berechnung!F16/360*7),B2),IF(B2&gt;(Berechnung!F16/360),(Berechnung!F16/360),B2))))*(B9/200+B10*0.01),2)))</f>
        <v>294</v>
      </c>
      <c r="C22" s="41" t="s">
        <v>42</v>
      </c>
      <c r="D22" s="8"/>
      <c r="E22" s="152"/>
    </row>
    <row r="23" spans="1:5" ht="15">
      <c r="A23" s="37" t="str">
        <f>IF(B14=1,1.675,1.175)+IF(B12=1,0.25,0)&amp;"% Pflegeversicherung"</f>
        <v>1,175% Pflegeversicherung</v>
      </c>
      <c r="B23" s="42">
        <f>IF(B9&gt;20,0,IF(B9=0,0,ROUND(IF(B3=1,IF(B2&gt;Berechnung!F16,Berechnung!F16,B2),IF(B3=2,IF(B2&gt;(Berechnung!F16/12),(Berechnung!F16/12),B2),IF(B3=3,IF(B2&gt;(Berechnung!F16/360*7),(Berechnung!F16/360*7),B2),IF(B2&gt;(Berechnung!F16/360),(Berechnung!F16/360),B2)))),2)))*Berechnung!C11</f>
        <v>41.13</v>
      </c>
      <c r="C23" s="41" t="s">
        <v>42</v>
      </c>
      <c r="D23" s="8"/>
      <c r="E23" s="4"/>
    </row>
    <row r="24" spans="1:5" ht="15">
      <c r="A24" s="37" t="s">
        <v>63</v>
      </c>
      <c r="B24" s="42">
        <f>IF(B6=0,ROUND(IF(B3=1,IF(B2&gt;Berechnung!C9,Berechnung!C9,B2),IF(B3=2,IF(B2&gt;(Berechnung!C9/12),(Berechnung!C9/12),B2),IF(B3=3,IF(B2&gt;(Berechnung!C9/360*7),(Berechnung!C9/360*7),B2),IF(B2&gt;(Berechnung!C9/360),(Berechnung!C9/360),B2))))*Berechnung!G6,2),0)</f>
        <v>52.5</v>
      </c>
      <c r="C24" s="41" t="s">
        <v>42</v>
      </c>
      <c r="D24" s="8"/>
      <c r="E24" s="4"/>
    </row>
    <row r="25" spans="1:5" ht="15">
      <c r="A25" s="15" t="s">
        <v>47</v>
      </c>
      <c r="B25" s="43">
        <f>SUM(B18:B24)</f>
        <v>1325.19</v>
      </c>
      <c r="C25" s="44" t="s">
        <v>42</v>
      </c>
      <c r="D25" s="8"/>
      <c r="E25" s="55" t="str">
        <f>"Entwurf PAP "&amp;BearbJahr&amp;" vom 11.11."&amp;BearbJahr-1</f>
        <v>Entwurf PAP 2016 vom 11.11.2015</v>
      </c>
    </row>
    <row r="26" spans="1:5" ht="16.5">
      <c r="A26" s="11" t="s">
        <v>48</v>
      </c>
      <c r="B26" s="12">
        <f>SUM(B2,-B25)</f>
        <v>2174.81</v>
      </c>
      <c r="C26" s="13" t="s">
        <v>42</v>
      </c>
      <c r="D26" s="10"/>
      <c r="E26" s="131" t="s">
        <v>127</v>
      </c>
    </row>
    <row r="27" spans="1:5" ht="12">
      <c r="A27" s="167" t="s">
        <v>55</v>
      </c>
      <c r="B27" s="167"/>
      <c r="C27" s="159" t="s">
        <v>49</v>
      </c>
      <c r="D27" s="159"/>
      <c r="E27" s="159"/>
    </row>
    <row r="28" spans="1:5" ht="12">
      <c r="A28" s="163" t="s">
        <v>65</v>
      </c>
      <c r="B28" s="164"/>
      <c r="C28" s="165" t="s">
        <v>66</v>
      </c>
      <c r="D28" s="165"/>
      <c r="E28" s="165"/>
    </row>
    <row r="29" spans="1:5" ht="12">
      <c r="A29" s="166" t="s">
        <v>125</v>
      </c>
      <c r="B29" s="158"/>
      <c r="C29" s="159" t="s">
        <v>126</v>
      </c>
      <c r="D29" s="159"/>
      <c r="E29" s="159"/>
    </row>
    <row r="30" spans="1:5" ht="12">
      <c r="A30" s="158" t="s">
        <v>82</v>
      </c>
      <c r="B30" s="158"/>
      <c r="C30" s="159" t="s">
        <v>81</v>
      </c>
      <c r="D30" s="159"/>
      <c r="E30" s="159"/>
    </row>
    <row r="31" spans="1:5" ht="12">
      <c r="A31" s="160" t="s">
        <v>64</v>
      </c>
      <c r="B31" s="160"/>
      <c r="C31" s="161" t="s">
        <v>106</v>
      </c>
      <c r="D31" s="162"/>
      <c r="E31" s="162"/>
    </row>
    <row r="38" ht="12">
      <c r="O38" s="47"/>
    </row>
    <row r="39" ht="12">
      <c r="O39" s="47"/>
    </row>
    <row r="40" ht="12">
      <c r="O40" s="47"/>
    </row>
    <row r="41" ht="12">
      <c r="O41" s="47"/>
    </row>
    <row r="42" ht="12">
      <c r="O42" s="47"/>
    </row>
    <row r="43" ht="12">
      <c r="O43" s="47"/>
    </row>
    <row r="44" ht="12">
      <c r="O44" s="47"/>
    </row>
  </sheetData>
  <sheetProtection/>
  <mergeCells count="13">
    <mergeCell ref="A29:B29"/>
    <mergeCell ref="C29:E29"/>
    <mergeCell ref="A27:B27"/>
    <mergeCell ref="E19:E22"/>
    <mergeCell ref="E9:E17"/>
    <mergeCell ref="E2:E7"/>
    <mergeCell ref="A30:B30"/>
    <mergeCell ref="C30:E30"/>
    <mergeCell ref="A31:B31"/>
    <mergeCell ref="C31:E31"/>
    <mergeCell ref="C27:E27"/>
    <mergeCell ref="A28:B28"/>
    <mergeCell ref="C28:E28"/>
  </mergeCells>
  <conditionalFormatting sqref="B15">
    <cfRule type="cellIs" priority="1" dxfId="0" operator="between" stopIfTrue="1">
      <formula>0</formula>
      <formula>5</formula>
    </cfRule>
  </conditionalFormatting>
  <dataValidations count="13">
    <dataValidation type="list" allowBlank="1" showInputMessage="1" showErrorMessage="1" sqref="B4">
      <formula1>"1,2,3,4,5,6"</formula1>
    </dataValidation>
    <dataValidation type="list" operator="notBetween" allowBlank="1" showInputMessage="1" showErrorMessage="1" promptTitle="Kirchensteuer" prompt="Die Kirchensteuer beträgt in Bayern und Baden-Württemberg 8%, sonst 9%" sqref="B8">
      <formula1>"0,8,9"</formula1>
    </dataValidation>
    <dataValidation type="list" allowBlank="1" showInputMessage="1" showErrorMessage="1" sqref="B7">
      <formula1>"0,0,5,1,1,5,2,2,5,3,3,5,4,4,5,5,5,5,6"</formula1>
    </dataValidation>
    <dataValidation type="decimal" allowBlank="1" showInputMessage="1" showErrorMessage="1" sqref="B5">
      <formula1>0</formula1>
      <formula2>1</formula2>
    </dataValidation>
    <dataValidation allowBlank="1" showInputMessage="1" showErrorMessage="1" promptTitle="Krankenkassenbeitragssatz" prompt="Krankenkassenbeitragssatz ohne Zusatzbeitrag eingeben bzw. bei privater Krankenversicherung nur den Eigenanteil (KV+ PV, AG-Zuschuss abgezogen!) Freiwillig Versicherte: Bei Arbeitgeberzuschuss wie GKV ohne wie PKV" sqref="B9"/>
    <dataValidation type="list" allowBlank="1" showInputMessage="1" showErrorMessage="1" promptTitle="Sonderabgabe Pflegeversicherung" prompt="Über 23jährige, die kein Elterteil sind, zahlen 0,25% mehr in die Pflegeversicherung" sqref="B12">
      <formula1>"0,1"</formula1>
    </dataValidation>
    <dataValidation type="list" allowBlank="1" showInputMessage="1" showErrorMessage="1" promptTitle="Bemessungsgrenze Sozialversicher" prompt="Die Bemessungsgrenzen der Rentenversicherung ist 2015 in Ost 62.400 €, in West 72.600 €." sqref="B13">
      <formula1>"0,1"</formula1>
    </dataValidation>
    <dataValidation type="list" allowBlank="1" showInputMessage="1" showErrorMessage="1" promptTitle="Pflegeversicherung in Sachsen" prompt="Sachsen bezahlen auch 2015 0,5% mehr für die Pflegeversicherung (1.675%). Dafür haben sie den Buß- und Bettag als Feiertag behalten." sqref="B14">
      <formula1>"0,1"</formula1>
    </dataValidation>
    <dataValidation allowBlank="1" showInputMessage="1" showErrorMessage="1" promptTitle="Krankenkassenzusatzbeitragssatz" prompt="Der Krankenkassenzusatzbeitragssatz, den der Arbeitnehmer alleine zu tragen hat (bisher 0,9%) wird seit 2014 von jeder Krankenkasse selbst festgelegt (zur Verbesserung des  Wettbewerbs)." sqref="B10"/>
    <dataValidation type="list" allowBlank="1" showInputMessage="1" showErrorMessage="1" sqref="B3">
      <formula1>"1,2,3,4"</formula1>
    </dataValidation>
    <dataValidation type="list" allowBlank="1" showInputMessage="1" showErrorMessage="1" promptTitle="Lohnsteuertabelle" prompt="Rentenversicherungspflichtige werden nach der allgemeinen und nicht  rentenversicherungspflichtige (z.B. Beamte, Geschäftsführer-Gesellschafter) nach der besonderen Tabelle besteuert (geringere Vorsorgepauschale)" sqref="B6">
      <formula1>"0,1"</formula1>
    </dataValidation>
    <dataValidation type="list" allowBlank="1" showInputMessage="1" showErrorMessage="1" promptTitle="Altersentlastungsbetrag" prompt="Eingabe: vor 1941 geborene=1, 1941=2, 1942=3, 1943=4, 1944=5, 1945=6, 1946=7, 1947=8, 1948=9, 1949=10, 1950=11, 1951=12, nach 1951=0" sqref="B15">
      <formula1>"0,1,2,3,4,5,6,7,8,9,10,11,12"</formula1>
    </dataValidation>
    <dataValidation type="list" allowBlank="1" showInputMessage="1" showErrorMessage="1" sqref="B11">
      <formula1>"0,1"</formula1>
    </dataValidation>
  </dataValidations>
  <hyperlinks>
    <hyperlink ref="C28:E28" r:id="rId1" display="parmentier.ffm@t-online.de"/>
    <hyperlink ref="C27:E27" r:id="rId2" display="http://www.parmentier.de/steuer/steuer01.htm"/>
    <hyperlink ref="C28" r:id="rId3" display="steuer@parmentier.de"/>
    <hyperlink ref="C30" r:id="rId4" display="http://www.parmentier.de/steuer/lohnsteuer2015.xls"/>
    <hyperlink ref="C31:E31" r:id="rId5" display="http://www.parmentier.de/steuer/lohnsteuer2013_netto.xls"/>
    <hyperlink ref="C31" r:id="rId6" display="http://www.parmentier.de/steuer/lohnsteuer2015_netto.xls"/>
    <hyperlink ref="C29" r:id="rId7" display="http://www.parmentier.de/steuer/lohnsteuerDez2015.xls"/>
  </hyperlinks>
  <printOptions/>
  <pageMargins left="0.787401575" right="0.787401575" top="0.984251969" bottom="0.984251969" header="0.4921259845" footer="0.492125984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26">
      <selection activeCell="D55" sqref="D55"/>
    </sheetView>
  </sheetViews>
  <sheetFormatPr defaultColWidth="11.57421875" defaultRowHeight="12.75"/>
  <cols>
    <col min="1" max="16384" width="11.421875" style="0" customWidth="1"/>
  </cols>
  <sheetData>
    <row r="1" spans="1:7" ht="27" thickBot="1">
      <c r="A1" s="96" t="s">
        <v>105</v>
      </c>
      <c r="B1" s="97">
        <v>2016</v>
      </c>
      <c r="C1" s="98"/>
      <c r="E1" s="89" t="str">
        <f>"SOZ-VS-BEITRAGSSÄTZE  "&amp;BearbJahr</f>
        <v>SOZ-VS-BEITRAGSSÄTZE  2016</v>
      </c>
      <c r="F1" s="45"/>
      <c r="G1" s="46"/>
    </row>
    <row r="2" spans="1:7" ht="15.75" thickBot="1">
      <c r="A2" s="99" t="s">
        <v>77</v>
      </c>
      <c r="B2" s="100" t="s">
        <v>3</v>
      </c>
      <c r="C2" s="109">
        <f>IF(Eingabe!B4&gt;4,0,Eingabe!B7)</f>
        <v>0</v>
      </c>
      <c r="E2" s="91" t="s">
        <v>92</v>
      </c>
      <c r="F2" s="92" t="s">
        <v>103</v>
      </c>
      <c r="G2" s="93" t="s">
        <v>98</v>
      </c>
    </row>
    <row r="3" spans="1:7" ht="12.75">
      <c r="A3" s="101"/>
      <c r="B3" s="102" t="s">
        <v>1</v>
      </c>
      <c r="C3" s="110">
        <f>Eingabe!B3</f>
        <v>2</v>
      </c>
      <c r="E3" s="48" t="s">
        <v>86</v>
      </c>
      <c r="F3" s="58">
        <v>0.146</v>
      </c>
      <c r="G3" s="57">
        <f>F3/2+F4</f>
        <v>0.084</v>
      </c>
    </row>
    <row r="4" spans="1:7" ht="12.75">
      <c r="A4" s="101"/>
      <c r="B4" s="102" t="s">
        <v>0</v>
      </c>
      <c r="C4" s="110">
        <f>Eingabe!B6</f>
        <v>0</v>
      </c>
      <c r="E4" s="49" t="s">
        <v>87</v>
      </c>
      <c r="F4" s="59">
        <v>0.011</v>
      </c>
      <c r="G4" s="57">
        <f>F4+0.07</f>
        <v>0.081</v>
      </c>
    </row>
    <row r="5" spans="1:7" ht="12.75">
      <c r="A5" s="101"/>
      <c r="B5" s="102" t="s">
        <v>56</v>
      </c>
      <c r="C5" s="111">
        <f>ROUNDDOWN(IF(C3=1,Eingabe!B2*100,IF(C3=2,(Eingabe!B2*100)*12,IF(C3=3,((Eingabe!B2*100)*360)/7,(Eingabe!B2*100)*360))),2)</f>
        <v>4200000</v>
      </c>
      <c r="E5" s="48" t="s">
        <v>88</v>
      </c>
      <c r="F5" s="60">
        <v>0.187</v>
      </c>
      <c r="G5" s="57">
        <f>F5/2</f>
        <v>0.0935</v>
      </c>
    </row>
    <row r="6" spans="1:7" ht="12.75">
      <c r="A6" s="101"/>
      <c r="B6" s="102" t="s">
        <v>2</v>
      </c>
      <c r="C6" s="112">
        <f>Eingabe!B4</f>
        <v>1</v>
      </c>
      <c r="E6" s="49" t="s">
        <v>89</v>
      </c>
      <c r="F6" s="59">
        <v>0.03</v>
      </c>
      <c r="G6" s="57">
        <f>F6/2</f>
        <v>0.015</v>
      </c>
    </row>
    <row r="7" spans="1:8" ht="12.75">
      <c r="A7" s="101"/>
      <c r="B7" s="102" t="s">
        <v>57</v>
      </c>
      <c r="C7" s="113">
        <f>IF(C6=6,0,Eingabe!B16*100)</f>
        <v>0</v>
      </c>
      <c r="E7" s="49" t="s">
        <v>90</v>
      </c>
      <c r="F7" s="59">
        <v>0.0235</v>
      </c>
      <c r="G7" s="57">
        <v>0.01175</v>
      </c>
      <c r="H7" s="47" t="s">
        <v>104</v>
      </c>
    </row>
    <row r="8" spans="1:7" ht="12.75">
      <c r="A8" s="101"/>
      <c r="B8" s="102" t="s">
        <v>58</v>
      </c>
      <c r="C8" s="114">
        <f>Eingabe!B17*100</f>
        <v>0</v>
      </c>
      <c r="E8" s="49" t="s">
        <v>91</v>
      </c>
      <c r="F8" s="58">
        <v>0.01675</v>
      </c>
      <c r="G8" s="88"/>
    </row>
    <row r="9" spans="1:8" ht="12.75">
      <c r="A9" s="101"/>
      <c r="B9" s="103" t="s">
        <v>68</v>
      </c>
      <c r="C9" s="115">
        <f>IF(Eingabe!B13=0,F14,F15)</f>
        <v>74400</v>
      </c>
      <c r="E9" s="147" t="s">
        <v>95</v>
      </c>
      <c r="F9" s="58">
        <v>0.0025</v>
      </c>
      <c r="H9" s="47"/>
    </row>
    <row r="10" spans="1:8" ht="12.75">
      <c r="A10" s="101"/>
      <c r="B10" s="143" t="s">
        <v>119</v>
      </c>
      <c r="C10" s="115">
        <f>IF(Eingabe!$B$9&gt;20,MAX($C$31,ROUNDDOWN(Eingabe!$B$9*12,2)-IF(Eingabe!$B$11=1,IF(Eingabe!$B$13=1,SUM(F10,F7,-F8),SUM(F10,F7/2))*MIN(C5/100,F16),0)),0)</f>
        <v>0</v>
      </c>
      <c r="E10" s="147" t="s">
        <v>122</v>
      </c>
      <c r="F10" s="148">
        <v>0.07</v>
      </c>
      <c r="H10" s="47"/>
    </row>
    <row r="11" spans="1:7" ht="12.75">
      <c r="A11" s="104"/>
      <c r="B11" s="102" t="s">
        <v>61</v>
      </c>
      <c r="C11" s="116">
        <f>IF(AND(Eingabe!B12=1,Eingabe!B14=1),F8+F9,IF(Eingabe!B14=1,F8,IF(AND(Eingabe!B7=0,Eingabe!B12=1),G7+F9,G7)))</f>
        <v>0.01175</v>
      </c>
      <c r="E11" s="47"/>
      <c r="F11" s="47"/>
      <c r="G11" s="47"/>
    </row>
    <row r="12" spans="1:7" ht="16.5">
      <c r="A12" s="101"/>
      <c r="B12" s="102" t="s">
        <v>62</v>
      </c>
      <c r="C12" s="117">
        <f>IF(OR(OR(Eingabe!B5=0,Eingabe!B5&gt;1),Eingabe!B4&lt;&gt;4),1,Eingabe!B5)</f>
        <v>1</v>
      </c>
      <c r="E12" s="90" t="s">
        <v>99</v>
      </c>
      <c r="F12" s="76"/>
      <c r="G12" s="77"/>
    </row>
    <row r="13" spans="1:11" s="1" customFormat="1" ht="15.75" thickBot="1">
      <c r="A13" s="136" t="s">
        <v>110</v>
      </c>
      <c r="B13" s="140" t="s">
        <v>111</v>
      </c>
      <c r="C13" s="118">
        <f>IF(Eingabe!B15=1,0.4,IF(Eingabe!B15=2,0.384,IF(Eingabe!B15=3,0.368,IF(Eingabe!B15=4,0.352,IF(Eingabe!B15=5,0.336,IF(Eingabe!B15=6,0.32,IF(Eingabe!B15=7,0.304,IF(Eingabe!B15=8,0.288,0))))))))+IF(Eingabe!B15=9,0.272,IF(Eingabe!B15=10,0.256,IF(Eingabe!B15=11,0.24,IF(Eingabe!B15=12,0.224,0))))</f>
        <v>0</v>
      </c>
      <c r="D13" s="137"/>
      <c r="E13" s="94" t="s">
        <v>101</v>
      </c>
      <c r="F13" s="95" t="s">
        <v>100</v>
      </c>
      <c r="G13" s="94" t="s">
        <v>102</v>
      </c>
      <c r="H13" s="132"/>
      <c r="I13" s="132"/>
      <c r="J13" s="132"/>
      <c r="K13" s="132"/>
    </row>
    <row r="14" spans="1:11" s="1" customFormat="1" ht="13.5" thickTop="1">
      <c r="A14" s="138"/>
      <c r="B14" s="1" t="s">
        <v>112</v>
      </c>
      <c r="C14" s="110">
        <f>IF(Eingabe!B15=1,190000,IF(Eingabe!B15=2,182400,IF(Eingabe!B15=3,174800,IF(Eingabe!B15=4,167200,IF(Eingabe!B15=5,159600,IF(Eingabe!B15=6,152000,IF(Eingabe!B15=7,144400,IF(Eingabe!B15=8,136800,0))))))))+IF(Eingabe!B15=9,129200,IF(Eingabe!B15=10,121600,IF(Eingabe!B15=11,114000,IF(Eingabe!B15=12,106400,0))))</f>
        <v>0</v>
      </c>
      <c r="D14" s="137"/>
      <c r="E14" s="48" t="s">
        <v>68</v>
      </c>
      <c r="F14" s="61">
        <v>74400</v>
      </c>
      <c r="G14" s="78" t="s">
        <v>77</v>
      </c>
      <c r="H14" s="132"/>
      <c r="I14" s="132"/>
      <c r="J14" s="132"/>
      <c r="K14" s="132"/>
    </row>
    <row r="15" spans="2:11" s="1" customFormat="1" ht="12.75">
      <c r="B15" s="1" t="s">
        <v>113</v>
      </c>
      <c r="C15" s="110">
        <f>C14</f>
        <v>0</v>
      </c>
      <c r="D15" s="137"/>
      <c r="E15" s="48" t="s">
        <v>68</v>
      </c>
      <c r="F15" s="62">
        <v>64800</v>
      </c>
      <c r="G15" s="79"/>
      <c r="H15" s="132"/>
      <c r="I15" s="132"/>
      <c r="J15" s="132"/>
      <c r="K15" s="132"/>
    </row>
    <row r="16" spans="2:11" s="1" customFormat="1" ht="12.75">
      <c r="B16" s="1" t="s">
        <v>114</v>
      </c>
      <c r="C16" s="110">
        <f>IF(Eingabe!B15=0,0,IF((C5*C13)&gt;C15,C15,C5*C13))</f>
        <v>0</v>
      </c>
      <c r="D16" s="137"/>
      <c r="E16" s="48" t="s">
        <v>73</v>
      </c>
      <c r="F16" s="63">
        <v>50850</v>
      </c>
      <c r="G16" s="79"/>
      <c r="H16" s="132"/>
      <c r="I16" s="132"/>
      <c r="J16" s="132"/>
      <c r="K16" s="132"/>
    </row>
    <row r="17" spans="2:11" s="1" customFormat="1" ht="12.75">
      <c r="B17" s="1" t="s">
        <v>115</v>
      </c>
      <c r="C17" s="119">
        <f>C5-C8+C7-C16</f>
        <v>4200000</v>
      </c>
      <c r="D17" s="137"/>
      <c r="E17" s="49" t="s">
        <v>74</v>
      </c>
      <c r="F17" s="64">
        <v>0.07</v>
      </c>
      <c r="G17" s="79"/>
      <c r="H17" s="132"/>
      <c r="I17" s="132"/>
      <c r="J17" s="132"/>
      <c r="K17" s="132"/>
    </row>
    <row r="18" spans="2:11" s="1" customFormat="1" ht="12.75">
      <c r="B18" s="1" t="s">
        <v>28</v>
      </c>
      <c r="C18" s="119">
        <f>C5</f>
        <v>4200000</v>
      </c>
      <c r="D18" s="137"/>
      <c r="E18" s="54" t="s">
        <v>76</v>
      </c>
      <c r="F18" s="65">
        <v>0.64</v>
      </c>
      <c r="G18" s="79"/>
      <c r="H18" s="132"/>
      <c r="I18" s="132"/>
      <c r="J18" s="132"/>
      <c r="K18" s="132"/>
    </row>
    <row r="19" spans="3:11" s="1" customFormat="1" ht="12.75">
      <c r="C19" s="110"/>
      <c r="D19" s="137"/>
      <c r="E19" s="85" t="s">
        <v>70</v>
      </c>
      <c r="F19" s="66">
        <v>10070</v>
      </c>
      <c r="G19" s="79"/>
      <c r="H19" s="132"/>
      <c r="I19" s="132"/>
      <c r="J19" s="132"/>
      <c r="K19" s="132"/>
    </row>
    <row r="20" spans="1:11" s="1" customFormat="1" ht="12.75">
      <c r="A20" s="136" t="s">
        <v>116</v>
      </c>
      <c r="B20" s="139" t="s">
        <v>115</v>
      </c>
      <c r="C20" s="118">
        <f>C17/100</f>
        <v>42000</v>
      </c>
      <c r="D20" s="137"/>
      <c r="E20" s="85" t="s">
        <v>71</v>
      </c>
      <c r="F20" s="66">
        <v>26832</v>
      </c>
      <c r="G20" s="79"/>
      <c r="H20" s="132"/>
      <c r="I20" s="132"/>
      <c r="J20" s="132"/>
      <c r="K20" s="132"/>
    </row>
    <row r="21" spans="2:11" s="1" customFormat="1" ht="12.75">
      <c r="B21" s="1" t="s">
        <v>28</v>
      </c>
      <c r="C21" s="110">
        <f>C18/100</f>
        <v>42000</v>
      </c>
      <c r="D21" s="137"/>
      <c r="E21" s="85" t="s">
        <v>72</v>
      </c>
      <c r="F21" s="66">
        <v>203557</v>
      </c>
      <c r="G21" s="79"/>
      <c r="H21" s="132"/>
      <c r="I21" s="132"/>
      <c r="J21" s="132"/>
      <c r="K21" s="132"/>
    </row>
    <row r="22" spans="3:11" s="1" customFormat="1" ht="12.75">
      <c r="C22" s="110"/>
      <c r="D22" s="137"/>
      <c r="E22" s="85" t="s">
        <v>75</v>
      </c>
      <c r="F22" s="66">
        <v>8652</v>
      </c>
      <c r="G22" s="79"/>
      <c r="H22" s="132"/>
      <c r="I22" s="132"/>
      <c r="J22" s="132"/>
      <c r="K22" s="132"/>
    </row>
    <row r="23" spans="1:7" ht="13.5" thickBot="1">
      <c r="A23" s="105" t="s">
        <v>5</v>
      </c>
      <c r="B23" s="106" t="s">
        <v>6</v>
      </c>
      <c r="C23" s="118">
        <f>IF(C6=3,2,1)</f>
        <v>1</v>
      </c>
      <c r="E23" s="86" t="s">
        <v>24</v>
      </c>
      <c r="F23" s="67">
        <v>972</v>
      </c>
      <c r="G23" s="80"/>
    </row>
    <row r="24" spans="1:7" ht="13.5" thickTop="1">
      <c r="A24" s="107"/>
      <c r="B24" s="102" t="s">
        <v>7</v>
      </c>
      <c r="C24" s="119">
        <f>F24</f>
        <v>1000</v>
      </c>
      <c r="E24" s="49" t="s">
        <v>7</v>
      </c>
      <c r="F24" s="68">
        <v>1000</v>
      </c>
      <c r="G24" s="81" t="s">
        <v>5</v>
      </c>
    </row>
    <row r="25" spans="1:7" ht="12.75">
      <c r="A25" s="107"/>
      <c r="B25" s="102" t="s">
        <v>34</v>
      </c>
      <c r="C25" s="110">
        <f>IF(C6=2,F25,0)</f>
        <v>0</v>
      </c>
      <c r="E25" s="49" t="s">
        <v>34</v>
      </c>
      <c r="F25" s="69">
        <v>1908</v>
      </c>
      <c r="G25" s="79"/>
    </row>
    <row r="26" spans="1:7" ht="12.75">
      <c r="A26" s="101"/>
      <c r="B26" s="102" t="s">
        <v>8</v>
      </c>
      <c r="C26" s="110">
        <f>IF(C6&gt;5,0,F26)</f>
        <v>36</v>
      </c>
      <c r="E26" s="54" t="s">
        <v>8</v>
      </c>
      <c r="F26" s="70">
        <v>36</v>
      </c>
      <c r="G26" s="79"/>
    </row>
    <row r="27" spans="1:7" ht="13.5" thickBot="1">
      <c r="A27" s="101"/>
      <c r="B27" s="102" t="s">
        <v>9</v>
      </c>
      <c r="C27" s="110">
        <f>IF(C6&lt;4,C2*F27,IF(C6=4,C2*F27/2,0))</f>
        <v>0</v>
      </c>
      <c r="E27" s="50" t="s">
        <v>9</v>
      </c>
      <c r="F27" s="71">
        <v>7248</v>
      </c>
      <c r="G27" s="80"/>
    </row>
    <row r="28" spans="1:7" ht="13.5" thickTop="1">
      <c r="A28" s="101"/>
      <c r="B28" s="102" t="s">
        <v>10</v>
      </c>
      <c r="C28" s="119">
        <f>IF(C6=6,0,C24+C25+C26)</f>
        <v>1036</v>
      </c>
      <c r="E28" s="48" t="s">
        <v>93</v>
      </c>
      <c r="F28" s="72">
        <v>1900</v>
      </c>
      <c r="G28" s="82" t="s">
        <v>36</v>
      </c>
    </row>
    <row r="29" spans="1:7" ht="13.5" thickBot="1">
      <c r="A29" s="105" t="s">
        <v>36</v>
      </c>
      <c r="B29" s="106" t="s">
        <v>28</v>
      </c>
      <c r="C29" s="120">
        <f>MIN(C9,C21)</f>
        <v>42000</v>
      </c>
      <c r="E29" s="50" t="s">
        <v>93</v>
      </c>
      <c r="F29" s="71">
        <v>3000</v>
      </c>
      <c r="G29" s="80"/>
    </row>
    <row r="30" spans="1:7" ht="13.5" thickTop="1">
      <c r="A30" s="101"/>
      <c r="B30" s="102" t="s">
        <v>37</v>
      </c>
      <c r="C30" s="121">
        <f>IF(C4=1,0,ROUNDDOWN(F18*C29*G5,2))</f>
        <v>2513.28</v>
      </c>
      <c r="E30" s="87"/>
      <c r="F30" s="73">
        <v>0.42</v>
      </c>
      <c r="G30" s="78" t="s">
        <v>16</v>
      </c>
    </row>
    <row r="31" spans="1:7" ht="13.5" thickBot="1">
      <c r="A31" s="101"/>
      <c r="B31" s="103" t="s">
        <v>39</v>
      </c>
      <c r="C31" s="121">
        <f>IF(C23=1,F28,F29)</f>
        <v>1900</v>
      </c>
      <c r="E31" s="80"/>
      <c r="F31" s="67">
        <v>0.45</v>
      </c>
      <c r="G31" s="80"/>
    </row>
    <row r="32" spans="1:7" ht="14.25" thickBot="1" thickTop="1">
      <c r="A32" s="101"/>
      <c r="B32" s="103" t="s">
        <v>38</v>
      </c>
      <c r="C32" s="121">
        <f>MIN(C31,ROUNDDOWN(0.12*C29,2))</f>
        <v>1900</v>
      </c>
      <c r="E32" s="80" t="s">
        <v>94</v>
      </c>
      <c r="F32" s="74">
        <v>5.5</v>
      </c>
      <c r="G32" s="83" t="s">
        <v>23</v>
      </c>
    </row>
    <row r="33" spans="1:7" ht="13.5" thickTop="1">
      <c r="A33" s="101"/>
      <c r="B33" s="14" t="str">
        <f>IF(Eingabe!B9=0,"KVSatz=0",(Eingabe!B9/2)+Eingabe!B10&amp;" % + PV")</f>
        <v>8,4 % + PV</v>
      </c>
      <c r="C33" s="122">
        <f>IF(Eingabe!B9=0,0,F17+Eingabe!B10/100+C11)</f>
        <v>0.09275</v>
      </c>
      <c r="E33" s="79"/>
      <c r="F33" s="66">
        <v>13669</v>
      </c>
      <c r="G33" s="82" t="s">
        <v>69</v>
      </c>
    </row>
    <row r="34" spans="1:7" ht="12.75">
      <c r="A34" s="101"/>
      <c r="B34" s="108" t="s">
        <v>59</v>
      </c>
      <c r="C34" s="123">
        <f>IF(C10&gt;0,IF(C6=6,0,C10),ROUNDDOWN(MIN(C21,F16)*C33*100,0)/100)</f>
        <v>3895.5</v>
      </c>
      <c r="D34" s="56"/>
      <c r="E34" s="79"/>
      <c r="F34" s="66">
        <v>53666</v>
      </c>
      <c r="G34" s="79"/>
    </row>
    <row r="35" spans="1:7" ht="12.75">
      <c r="A35" s="101"/>
      <c r="B35" s="103" t="s">
        <v>60</v>
      </c>
      <c r="C35" s="121">
        <f>IF(C34&gt;C31,C34,C32)</f>
        <v>3895.5</v>
      </c>
      <c r="E35" s="79"/>
      <c r="F35" s="66">
        <v>254447</v>
      </c>
      <c r="G35" s="79"/>
    </row>
    <row r="36" spans="1:7" ht="12.75">
      <c r="A36" s="101"/>
      <c r="B36" s="103" t="s">
        <v>40</v>
      </c>
      <c r="C36" s="121">
        <f>ROUNDUP(C30+C35,0)</f>
        <v>6409</v>
      </c>
      <c r="E36" s="79"/>
      <c r="F36" s="75">
        <v>225.4</v>
      </c>
      <c r="G36" s="79"/>
    </row>
    <row r="37" spans="1:7" ht="12.75">
      <c r="A37" s="105" t="s">
        <v>21</v>
      </c>
      <c r="B37" s="141" t="s">
        <v>11</v>
      </c>
      <c r="C37" s="120">
        <f>ROUNDDOWN(C20-C28-C36,0)</f>
        <v>34555</v>
      </c>
      <c r="E37" s="79"/>
      <c r="F37" s="66">
        <v>2397</v>
      </c>
      <c r="G37" s="79"/>
    </row>
    <row r="38" spans="1:7" ht="12.75">
      <c r="A38" s="142"/>
      <c r="B38" s="143" t="s">
        <v>117</v>
      </c>
      <c r="C38" s="119">
        <f>MAX(0,ROUNDDOWN(C37/C23,0))</f>
        <v>34555</v>
      </c>
      <c r="E38" s="79"/>
      <c r="F38" s="75">
        <v>952.48</v>
      </c>
      <c r="G38" s="79"/>
    </row>
    <row r="39" spans="1:8" ht="12.75">
      <c r="A39" s="105" t="s">
        <v>69</v>
      </c>
      <c r="B39" s="106" t="s">
        <v>13</v>
      </c>
      <c r="C39" s="124">
        <f>IF(C38&lt;=F22,0,IF(C38&lt;=F33,INT((F39*(C38-F22)/10000+F40)*(C38-F22)/10000),IF(C38&lt;F34,INT((F36*(C38-F33)/10000+F37)*(C38-F33)/10000+F38),IF(C38&lt;F35,INT(C38*F30-F41),INT(C38*F31-F42)))))*C23</f>
        <v>6942</v>
      </c>
      <c r="E39" s="79"/>
      <c r="F39" s="75">
        <v>993.62</v>
      </c>
      <c r="G39" s="79"/>
      <c r="H39" s="47"/>
    </row>
    <row r="40" spans="1:8" ht="12.75">
      <c r="A40" s="105" t="s">
        <v>16</v>
      </c>
      <c r="B40" s="106" t="s">
        <v>12</v>
      </c>
      <c r="C40" s="125">
        <f>MIN(F20,C38)*1.25</f>
        <v>33540</v>
      </c>
      <c r="E40" s="79"/>
      <c r="F40" s="66">
        <v>1400</v>
      </c>
      <c r="G40" s="79"/>
      <c r="H40" s="47"/>
    </row>
    <row r="41" spans="1:8" ht="12.75">
      <c r="A41" s="101"/>
      <c r="B41" s="102" t="s">
        <v>17</v>
      </c>
      <c r="C41" s="119">
        <f>IF(C40&lt;=F22,0,IF(C40&lt;=F33,INT((F39*(C40-F22)/10000+F40)*(C40-F22)/10000),IF(C40&lt;F34,INT((F36*(C40-F33)/10000+F37)*(C40-F33)/10000+F38),IF(C40&lt;=F35,INT(C40*F30-F41),INT(C40*F31-F42)))))</f>
        <v>6605</v>
      </c>
      <c r="E41" s="79"/>
      <c r="F41" s="75">
        <v>8394.14</v>
      </c>
      <c r="G41" s="79"/>
      <c r="H41" s="47"/>
    </row>
    <row r="42" spans="1:8" ht="12.75">
      <c r="A42" s="101"/>
      <c r="B42" s="102" t="s">
        <v>12</v>
      </c>
      <c r="C42" s="119">
        <f>MIN(F20,C38)*0.75</f>
        <v>20124</v>
      </c>
      <c r="E42" s="84"/>
      <c r="F42" s="75">
        <v>16027.52</v>
      </c>
      <c r="G42" s="84"/>
      <c r="H42" s="47"/>
    </row>
    <row r="43" spans="1:8" ht="12.75">
      <c r="A43" s="101"/>
      <c r="B43" s="102" t="s">
        <v>18</v>
      </c>
      <c r="C43" s="110">
        <f>IF(C42&lt;=F22,0,IF(C42&lt;=F33,INT((F39*(C42-F22)/10000+F40)*(C42-F22)/10000),IF(C42&lt;F34,INT((F36*(C42-F33)/10000+F37)*(C42-F33)/10000+F38),IF(C42&lt;F35,INT(C42*F30-F41),INT(C42*F31-F42)))))</f>
        <v>2593</v>
      </c>
      <c r="H43" s="47"/>
    </row>
    <row r="44" spans="1:8" ht="12">
      <c r="A44" s="101"/>
      <c r="B44" s="102" t="s">
        <v>19</v>
      </c>
      <c r="C44" s="119">
        <f>(C41-C43)*2</f>
        <v>8024</v>
      </c>
      <c r="H44" s="47"/>
    </row>
    <row r="45" spans="1:8" ht="12">
      <c r="A45" s="101"/>
      <c r="B45" s="102" t="s">
        <v>20</v>
      </c>
      <c r="C45" s="119">
        <f>ROUNDDOWN(MIN(C38,F20)*0.14,0)</f>
        <v>3756</v>
      </c>
      <c r="H45" s="47"/>
    </row>
    <row r="46" spans="1:3" ht="12">
      <c r="A46" s="101"/>
      <c r="B46" s="102" t="s">
        <v>13</v>
      </c>
      <c r="C46" s="119">
        <f>MAX(C44,C45)</f>
        <v>8024</v>
      </c>
    </row>
    <row r="47" spans="1:3" ht="12">
      <c r="A47" s="101"/>
      <c r="B47" s="102" t="s">
        <v>13</v>
      </c>
      <c r="C47" s="119">
        <f>IF(C38&gt;F21,(F21-F20)*F30+C46,ROUNDDOWN(MAX(C38-F20,0)*F30+C46,0))</f>
        <v>11267</v>
      </c>
    </row>
    <row r="48" spans="1:3" ht="12">
      <c r="A48" s="101"/>
      <c r="B48" s="102" t="s">
        <v>53</v>
      </c>
      <c r="C48" s="119">
        <f>IF(AND(C38&gt;F19,C38&lt;=F20),C46,0)</f>
        <v>0</v>
      </c>
    </row>
    <row r="49" spans="1:3" ht="12">
      <c r="A49" s="101"/>
      <c r="B49" s="102" t="s">
        <v>13</v>
      </c>
      <c r="C49" s="119">
        <f>ROUNDDOWN(F19*0.14,0)</f>
        <v>1409</v>
      </c>
    </row>
    <row r="50" spans="1:3" ht="12">
      <c r="A50" s="101"/>
      <c r="B50" s="102" t="s">
        <v>13</v>
      </c>
      <c r="C50" s="119">
        <f>MIN(ROUNDDOWN(MAX(C38-F19,0)*F30+C49,0),C47)</f>
        <v>11267</v>
      </c>
    </row>
    <row r="51" spans="1:3" ht="12">
      <c r="A51" s="101"/>
      <c r="B51" s="102" t="s">
        <v>54</v>
      </c>
      <c r="C51" s="119">
        <f>ROUNDDOWN(MAX(C38-F21,0)*F31+C50,0)</f>
        <v>11267</v>
      </c>
    </row>
    <row r="52" spans="1:3" ht="12">
      <c r="A52" s="101"/>
      <c r="B52" s="102" t="s">
        <v>14</v>
      </c>
      <c r="C52" s="119">
        <f>ROUNDDOWN(IF(C6&lt;5,C39,C51)*C12,0)</f>
        <v>6942</v>
      </c>
    </row>
    <row r="53" spans="1:3" ht="12">
      <c r="A53" s="101"/>
      <c r="B53" s="102" t="s">
        <v>4</v>
      </c>
      <c r="C53" s="119">
        <f>C52*100</f>
        <v>694200</v>
      </c>
    </row>
    <row r="54" spans="1:3" ht="12">
      <c r="A54" s="105" t="s">
        <v>52</v>
      </c>
      <c r="B54" s="106" t="s">
        <v>32</v>
      </c>
      <c r="C54" s="120">
        <f>IF(C3=1,C53,IF(C3=2,ROUNDDOWN(C53/12,0),IF(C3=3,ROUNDDOWN((C53*7)/360,0),ROUNDDOWN(C53/360,0))))</f>
        <v>57850</v>
      </c>
    </row>
    <row r="55" spans="1:3" ht="12">
      <c r="A55" s="101"/>
      <c r="B55" s="102" t="s">
        <v>10</v>
      </c>
      <c r="C55" s="119">
        <f>C27+C28</f>
        <v>1036</v>
      </c>
    </row>
    <row r="56" spans="1:3" ht="12">
      <c r="A56" s="101"/>
      <c r="B56" s="102" t="s">
        <v>11</v>
      </c>
      <c r="C56" s="119">
        <f>C20-C36-C55</f>
        <v>34555</v>
      </c>
    </row>
    <row r="57" spans="1:3" ht="12">
      <c r="A57" s="101"/>
      <c r="B57" s="102" t="s">
        <v>35</v>
      </c>
      <c r="C57" s="119">
        <f>IF(C56&lt;36,0,ROUNDDOWN(C56/C23,0))</f>
        <v>34555</v>
      </c>
    </row>
    <row r="58" spans="1:3" ht="12">
      <c r="A58" s="101"/>
      <c r="B58" s="102" t="s">
        <v>13</v>
      </c>
      <c r="C58" s="119">
        <f>IF(C57&lt;=F22,0,IF(C57&lt;=F33,INT((F39*(C57-F22)/10000+F40)*(C57-F22)/10000),IF(C57&lt;F34,INT((F36*(C57-F33)/10000+F37)*(C57-F33)/10000+F38),IF(C57&lt;F35,INT(C57*F30-F41),INT(C57*F31-F42)))))*C23</f>
        <v>6942</v>
      </c>
    </row>
    <row r="59" spans="1:3" ht="12">
      <c r="A59" s="101"/>
      <c r="B59" s="102" t="s">
        <v>22</v>
      </c>
      <c r="C59" s="119">
        <f>IF(C2&gt;0,ROUNDDOWN(C58*C12,0),C52)</f>
        <v>6942</v>
      </c>
    </row>
    <row r="60" spans="1:3" ht="12">
      <c r="A60" s="105" t="s">
        <v>23</v>
      </c>
      <c r="B60" s="106" t="s">
        <v>24</v>
      </c>
      <c r="C60" s="118">
        <f>(F23)*C23</f>
        <v>972</v>
      </c>
    </row>
    <row r="61" spans="1:3" ht="12">
      <c r="A61" s="101"/>
      <c r="B61" s="102" t="s">
        <v>25</v>
      </c>
      <c r="C61" s="117">
        <f>ROUNDDOWN((C59*5.5)/100,2)</f>
        <v>381.81</v>
      </c>
    </row>
    <row r="62" spans="1:3" ht="12">
      <c r="A62" s="101"/>
      <c r="B62" s="102" t="s">
        <v>26</v>
      </c>
      <c r="C62" s="117">
        <f>((C59-C60)*20)/100</f>
        <v>1194</v>
      </c>
    </row>
    <row r="63" spans="1:3" ht="12">
      <c r="A63" s="101"/>
      <c r="B63" s="102" t="s">
        <v>25</v>
      </c>
      <c r="C63" s="117">
        <f>MIN(C62,C61)</f>
        <v>381.81</v>
      </c>
    </row>
    <row r="64" spans="1:3" ht="12">
      <c r="A64" s="101"/>
      <c r="B64" s="102" t="s">
        <v>4</v>
      </c>
      <c r="C64" s="110">
        <f>C63*100</f>
        <v>38181</v>
      </c>
    </row>
    <row r="65" spans="1:3" ht="12">
      <c r="A65" s="105" t="s">
        <v>51</v>
      </c>
      <c r="B65" s="106" t="s">
        <v>15</v>
      </c>
      <c r="C65" s="120">
        <f>ROUNDDOWN(IF(C3=1,C64,IF(C3=2,C64/12,IF(C3=3,(C64*7)/360,C64/360))),0)</f>
        <v>3181</v>
      </c>
    </row>
    <row r="66" spans="1:3" ht="12">
      <c r="A66" s="101"/>
      <c r="B66" s="102" t="s">
        <v>33</v>
      </c>
      <c r="C66" s="119">
        <f>IF(C59&gt;C60,C65,0)</f>
        <v>3181</v>
      </c>
    </row>
    <row r="67" spans="1:3" ht="12">
      <c r="A67" s="101"/>
      <c r="B67" s="102" t="s">
        <v>4</v>
      </c>
      <c r="C67" s="119">
        <f>C59*100</f>
        <v>694200</v>
      </c>
    </row>
    <row r="68" spans="1:3" ht="12">
      <c r="A68" s="126" t="s">
        <v>27</v>
      </c>
      <c r="B68" s="127" t="s">
        <v>27</v>
      </c>
      <c r="C68" s="128">
        <f>ROUNDDOWN(IF(C3=1,C67,IF(C3=2,C67/12,IF(C3=3,(C67*7)/360,C67/360))),0)</f>
        <v>57850</v>
      </c>
    </row>
    <row r="69" spans="1:3" ht="12">
      <c r="A69" s="126" t="s">
        <v>123</v>
      </c>
      <c r="B69" s="127" t="s">
        <v>124</v>
      </c>
      <c r="C69" s="150">
        <f>IF(C3=1,12,IF(C3=2,1,IF(C3=3,84/360,12/360)))</f>
        <v>1</v>
      </c>
    </row>
  </sheetData>
  <sheetProtection/>
  <printOptions/>
  <pageMargins left="0.787401575" right="0.787401575" top="0.984251969" bottom="0.984251969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HAGrom/2016</Manager>
  <Company>excelhelper.de</Company>
  <HyperlinkBase>www.excelhelper.de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EXCEL-Lohnsteuerberechnung mit Zellfunktionen</dc:title>
  <dc:subject/>
  <dc:creator>Wolfgang Parmentier/Dr. Johannes Parmentier</dc:creator>
  <cp:keywords/>
  <dc:description>Im Dezember 2015</dc:description>
  <cp:lastModifiedBy>Johannes Parmentier</cp:lastModifiedBy>
  <cp:lastPrinted>2006-02-07T15:12:52Z</cp:lastPrinted>
  <dcterms:created xsi:type="dcterms:W3CDTF">1999-02-09T12:11:13Z</dcterms:created>
  <dcterms:modified xsi:type="dcterms:W3CDTF">2016-07-11T10:25:05Z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