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20" yWindow="460" windowWidth="29420" windowHeight="19820" activeTab="0"/>
  </bookViews>
  <sheets>
    <sheet name="Eingabe" sheetId="1" r:id="rId1"/>
    <sheet name="Berechnung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<sst xmlns="http://schemas.openxmlformats.org/spreadsheetml/2006/main" count="158" uniqueCount="118">
  <si>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</si>
  <si>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</si>
  <si>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</si>
  <si>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</si>
  <si>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</si>
  <si>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</si>
  <si>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</si>
  <si>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</si>
  <si>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</si>
  <si>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</si>
  <si>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</si>
  <si>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</si>
  <si>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</si>
  <si>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</si>
  <si>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</si>
  <si>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</si>
  <si>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</si>
  <si>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</si>
  <si>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</si>
  <si>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</si>
  <si>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</si>
  <si>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</si>
  <si>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</si>
  <si>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</si>
  <si>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</si>
  <si>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</si>
  <si>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</si>
  <si>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</si>
  <si>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</si>
  <si>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</si>
  <si>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</si>
  <si>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</si>
  <si>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</si>
  <si>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</si>
  <si>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</si>
  <si>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</si>
  <si>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</si>
  <si>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</si>
  <si>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</si>
  <si>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</si>
  <si>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</si>
  <si>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</si>
  <si>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</si>
  <si>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</si>
  <si>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</si>
  <si>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</si>
  <si>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</si>
  <si>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</si>
  <si>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</si>
  <si>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</si>
  <si>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0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</si>
  <si>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</si>
  <si>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</si>
  <si>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0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</si>
  <si>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</si>
  <si>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t>Ostdeutschland nein=0 ja=1</t>
  </si>
  <si>
    <t>Sachsen nein=0 ja=1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</si>
  <si>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</si>
  <si>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</si>
  <si>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</si>
  <si>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</si>
  <si>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</si>
  <si>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</si>
  <si>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</si>
  <si>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</si>
  <si>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</si>
  <si>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</si>
  <si>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</si>
  <si>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</si>
  <si>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</si>
  <si>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</si>
  <si>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</si>
  <si>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</si>
  <si>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</si>
  <si>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</si>
  <si>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</si>
  <si>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</si>
  <si>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</si>
  <si>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</si>
  <si>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KUG</t>
  </si>
  <si>
    <t>Progprozent StKl 1-4</t>
  </si>
  <si>
    <t>mit Berücksichtigung von Einkommensteuerersatzleistungen mit</t>
  </si>
  <si>
    <r>
      <t>Summe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Kurzarbeitergeld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(bzw. Elterngeld usw.)</t>
    </r>
  </si>
  <si>
    <t>Progressionsvorbehalt (wie KUG, Elterngeld usw.)</t>
  </si>
  <si>
    <t xml:space="preserve">Das Programm ist FreeWare. </t>
  </si>
  <si>
    <r>
      <t xml:space="preserve">Steuerpflichtiger gesamter </t>
    </r>
    <r>
      <rPr>
        <b/>
        <sz val="10"/>
        <color indexed="10"/>
        <rFont val="Arial"/>
        <family val="2"/>
      </rPr>
      <t>Jahres</t>
    </r>
    <r>
      <rPr>
        <b/>
        <sz val="10"/>
        <rFont val="Arial"/>
        <family val="2"/>
      </rPr>
      <t>Arbeitslohn</t>
    </r>
  </si>
  <si>
    <t>RV-BEMES</t>
  </si>
  <si>
    <t>PKV</t>
  </si>
  <si>
    <t>PV%</t>
  </si>
  <si>
    <t>FAKTOR F</t>
  </si>
  <si>
    <t>KV</t>
  </si>
  <si>
    <t>KV&gt;VHB?</t>
  </si>
  <si>
    <t>ZZX</t>
  </si>
  <si>
    <t>€/%</t>
  </si>
  <si>
    <t>Krankenversicherung (privat bei Wert &gt; 20)</t>
  </si>
  <si>
    <t>1,5%Arbeitslosenversicherung</t>
  </si>
  <si>
    <t>STPROG</t>
  </si>
  <si>
    <t>Krankenkassenzusatzbeitrag</t>
  </si>
  <si>
    <t>ZRE4J + Prog</t>
  </si>
  <si>
    <t>Berücksichtigung von Einkommensersatzleistungen mit Progres-</t>
  </si>
  <si>
    <t>sionsvorbehalt (Kurzarbeitergeld, Elterngeld usw.) nur bei Steuer-</t>
  </si>
  <si>
    <t>klasse 1-4.</t>
  </si>
  <si>
    <t>Prog%</t>
  </si>
  <si>
    <t>ZVE+PROG-KFB</t>
  </si>
  <si>
    <t>SoliProg Kinder</t>
  </si>
  <si>
    <r>
      <t>Nettolohn+</t>
    </r>
    <r>
      <rPr>
        <sz val="10"/>
        <rFont val="Arial"/>
        <family val="0"/>
      </rPr>
      <t>steuerfreies Einkommen mit Progvorbehalt</t>
    </r>
  </si>
  <si>
    <t xml:space="preserve">                    Wolfgang† und Johannes Parmentier Frankfurt am Main e-Mail: </t>
  </si>
  <si>
    <t>steuer@parmentier.de</t>
  </si>
  <si>
    <t>9,35%Rentenversicherung</t>
  </si>
  <si>
    <t xml:space="preserve">Altersentlasung </t>
  </si>
  <si>
    <t>Arbeitgeberzuschuss zur privaten KV  nein=0, ja=1</t>
  </si>
  <si>
    <t>Jahres-Lohnsteuerberechnung 2017 mit Zellfunktionen</t>
  </si>
  <si>
    <t>Lohnsteuerprogramm (ohne Berechn. ProgVorbehalt) für 2017 unter</t>
  </si>
  <si>
    <t>http://www.parmentier.de/steuer/lohnsteuer2017.xls</t>
  </si>
  <si>
    <t xml:space="preserve">8.820 € Grundfreibetrag berücksichtigt                                 Stand 22.11.2016    </t>
  </si>
  <si>
    <t>=10240*1.25=12.800 davon ST = 716,8 2 = 1433,6 bzw. auch 10240 * 14% = 1433,6</t>
  </si>
  <si>
    <t>LST 2017</t>
  </si>
  <si>
    <t>UPTAB17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</si>
</sst>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"/>
    <numFmt numFmtId="182" formatCode="0.000000"/>
    <numFmt numFmtId="183" formatCode="0.000"/>
    <numFmt numFmtId="184" formatCode="#,##0_ ;\-#,##0\ "/>
    <numFmt numFmtId="185" formatCode="0_ ;\-0\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_-* #,##0.00\ [$€-1]_-;\-* #,##0.00\ [$€-1]_-;_-* &quot;-&quot;??\ [$€-1]_-"/>
    <numFmt numFmtId="190" formatCode="0.0000_ ;\-0.0000\ "/>
    <numFmt numFmtId="191" formatCode="0.000_ ;\-0.000\ "/>
    <numFmt numFmtId="192" formatCode="#,##0.000\ _€;\-#,##0.000\ _€"/>
    <numFmt numFmtId="193" formatCode="0.00_ ;\-0.00\ "/>
    <numFmt numFmtId="194" formatCode="0.0_ ;\-0.0\ "/>
    <numFmt numFmtId="195" formatCode="#,##0.00_ ;\-#,##0.00\ "/>
    <numFmt numFmtId="196" formatCode="0.00000_ ;\-0.00000\ "/>
    <numFmt numFmtId="197" formatCode="#,##0.00\ &quot;€&quot;"/>
    <numFmt numFmtId="198" formatCode="#,##0.0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85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195" fontId="0" fillId="0" borderId="10" xfId="44" applyNumberFormat="1" applyFont="1" applyBorder="1" applyAlignment="1">
      <alignment/>
    </xf>
    <xf numFmtId="0" fontId="7" fillId="0" borderId="14" xfId="0" applyFont="1" applyBorder="1" applyAlignment="1">
      <alignment/>
    </xf>
    <xf numFmtId="195" fontId="0" fillId="0" borderId="14" xfId="44" applyNumberFormat="1" applyFon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85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2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53" applyFont="1" applyFill="1" applyBorder="1" applyAlignment="1" applyProtection="1">
      <alignment horizontal="left"/>
      <protection/>
    </xf>
    <xf numFmtId="0" fontId="11" fillId="34" borderId="10" xfId="53" applyFont="1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4" fillId="35" borderId="10" xfId="53" applyFill="1" applyBorder="1" applyAlignment="1" applyProtection="1">
      <alignment horizontal="center"/>
      <protection/>
    </xf>
    <xf numFmtId="0" fontId="7" fillId="35" borderId="23" xfId="0" applyFont="1" applyFill="1" applyBorder="1" applyAlignment="1">
      <alignment/>
    </xf>
    <xf numFmtId="0" fontId="4" fillId="35" borderId="10" xfId="53" applyFill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11" xfId="0" applyNumberForma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2" fillId="36" borderId="24" xfId="0" applyFont="1" applyFill="1" applyBorder="1" applyAlignment="1">
      <alignment/>
    </xf>
    <xf numFmtId="2" fontId="12" fillId="36" borderId="25" xfId="0" applyNumberFormat="1" applyFont="1" applyFill="1" applyBorder="1" applyAlignment="1">
      <alignment/>
    </xf>
    <xf numFmtId="0" fontId="12" fillId="36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6" fillId="0" borderId="11" xfId="0" applyNumberFormat="1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hidden="1"/>
    </xf>
    <xf numFmtId="4" fontId="12" fillId="36" borderId="27" xfId="0" applyNumberFormat="1" applyFont="1" applyFill="1" applyBorder="1" applyAlignment="1">
      <alignment/>
    </xf>
    <xf numFmtId="4" fontId="12" fillId="36" borderId="25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3" fillId="0" borderId="28" xfId="0" applyNumberFormat="1" applyFont="1" applyBorder="1" applyAlignment="1">
      <alignment/>
    </xf>
    <xf numFmtId="0" fontId="14" fillId="37" borderId="22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193" fontId="0" fillId="0" borderId="0" xfId="0" applyNumberFormat="1" applyFill="1" applyAlignment="1" applyProtection="1">
      <alignment horizontal="right"/>
      <protection hidden="1"/>
    </xf>
    <xf numFmtId="196" fontId="0" fillId="0" borderId="0" xfId="0" applyNumberFormat="1" applyFill="1" applyAlignment="1" applyProtection="1">
      <alignment horizontal="right"/>
      <protection hidden="1"/>
    </xf>
    <xf numFmtId="181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98" fontId="0" fillId="0" borderId="0" xfId="0" applyNumberFormat="1" applyAlignment="1">
      <alignment/>
    </xf>
    <xf numFmtId="0" fontId="12" fillId="38" borderId="14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7" fillId="39" borderId="22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" fillId="39" borderId="10" xfId="53" applyFont="1" applyFill="1" applyBorder="1" applyAlignment="1" applyProtection="1">
      <alignment horizontal="left"/>
      <protection/>
    </xf>
    <xf numFmtId="0" fontId="29" fillId="35" borderId="10" xfId="0" applyFont="1" applyFill="1" applyBorder="1" applyAlignment="1">
      <alignment/>
    </xf>
    <xf numFmtId="0" fontId="0" fillId="40" borderId="0" xfId="0" applyFill="1" applyAlignment="1" applyProtection="1">
      <alignment/>
      <protection hidden="1"/>
    </xf>
    <xf numFmtId="0" fontId="0" fillId="0" borderId="0" xfId="0" applyFill="1" applyAlignment="1" applyProtection="1" quotePrefix="1">
      <alignment/>
      <protection hidden="1"/>
    </xf>
    <xf numFmtId="0" fontId="0" fillId="0" borderId="29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0" fillId="34" borderId="30" xfId="0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53" applyFill="1" applyAlignment="1" applyProtection="1">
      <alignment/>
      <protection/>
    </xf>
    <xf numFmtId="0" fontId="0" fillId="34" borderId="0" xfId="0" applyFont="1" applyFill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http://www.parmentier.de/steuer/lohnsteuer2017.xls" TargetMode="External" /><Relationship Id="rId3" Type="http://schemas.openxmlformats.org/officeDocument/2006/relationships/hyperlink" Target="../steuer01.htm" TargetMode="External" /><Relationship Id="rId4" Type="http://schemas.openxmlformats.org/officeDocument/2006/relationships/hyperlink" Target="mailto:steuer@parmentier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45.8515625" style="0" customWidth="1"/>
    <col min="2" max="2" width="12.8515625" style="0" bestFit="1" customWidth="1"/>
    <col min="3" max="3" width="4.421875" style="0" customWidth="1"/>
    <col min="4" max="4" width="1.8515625" style="0" customWidth="1"/>
    <col min="5" max="5" width="57.421875" style="0" customWidth="1"/>
    <col min="6" max="6" width="11.7109375" style="0" bestFit="1" customWidth="1"/>
  </cols>
  <sheetData>
    <row r="1" spans="1:5" ht="12.75">
      <c r="A1" s="2"/>
      <c r="B1" s="3"/>
      <c r="C1" s="4"/>
      <c r="D1" s="37"/>
      <c r="E1" s="38">
        <v>6</v>
      </c>
    </row>
    <row r="2" spans="1:5" ht="12.75">
      <c r="A2" s="63" t="s">
        <v>85</v>
      </c>
      <c r="B2" s="65">
        <v>42000</v>
      </c>
      <c r="C2" s="11" t="s">
        <v>46</v>
      </c>
      <c r="D2" s="72"/>
      <c r="E2" s="73" t="s">
        <v>111</v>
      </c>
    </row>
    <row r="3" spans="1:7" ht="12.75">
      <c r="A3" s="64" t="s">
        <v>82</v>
      </c>
      <c r="B3" s="66">
        <v>0</v>
      </c>
      <c r="C3" s="4" t="s">
        <v>46</v>
      </c>
      <c r="D3" s="74"/>
      <c r="E3" s="75" t="s">
        <v>81</v>
      </c>
      <c r="G3" s="19"/>
    </row>
    <row r="4" spans="1:5" ht="12.75">
      <c r="A4" s="2" t="s">
        <v>47</v>
      </c>
      <c r="B4" s="55">
        <v>1</v>
      </c>
      <c r="C4" s="6"/>
      <c r="D4" s="74"/>
      <c r="E4" s="75" t="s">
        <v>83</v>
      </c>
    </row>
    <row r="5" spans="1:6" ht="12.75">
      <c r="A5" s="2" t="s">
        <v>48</v>
      </c>
      <c r="B5" s="55">
        <v>0</v>
      </c>
      <c r="C5" s="4"/>
      <c r="D5" s="39"/>
      <c r="E5" s="40"/>
      <c r="F5" s="81"/>
    </row>
    <row r="6" spans="1:5" ht="12.75">
      <c r="A6" s="2" t="s">
        <v>49</v>
      </c>
      <c r="B6" s="56">
        <v>0</v>
      </c>
      <c r="C6" s="4"/>
      <c r="D6" s="39"/>
      <c r="E6" s="40" t="s">
        <v>84</v>
      </c>
    </row>
    <row r="7" spans="1:5" ht="12.75">
      <c r="A7" s="2" t="s">
        <v>51</v>
      </c>
      <c r="B7" s="55">
        <v>0</v>
      </c>
      <c r="C7" s="4" t="s">
        <v>52</v>
      </c>
      <c r="D7" s="39"/>
      <c r="E7" s="41" t="s">
        <v>50</v>
      </c>
    </row>
    <row r="8" spans="1:5" ht="12.75">
      <c r="A8" s="2" t="s">
        <v>94</v>
      </c>
      <c r="B8" s="53">
        <v>14.6</v>
      </c>
      <c r="C8" s="4" t="s">
        <v>93</v>
      </c>
      <c r="D8" s="39"/>
      <c r="E8" s="41" t="s">
        <v>53</v>
      </c>
    </row>
    <row r="9" spans="1:5" ht="12.75">
      <c r="A9" s="2" t="s">
        <v>97</v>
      </c>
      <c r="B9" s="53">
        <v>1.1</v>
      </c>
      <c r="C9" s="4" t="s">
        <v>52</v>
      </c>
      <c r="D9" s="39"/>
      <c r="E9" s="41" t="s">
        <v>54</v>
      </c>
    </row>
    <row r="10" spans="1:5" ht="12.75">
      <c r="A10" s="92" t="s">
        <v>110</v>
      </c>
      <c r="B10" s="93">
        <v>0</v>
      </c>
      <c r="C10" s="4"/>
      <c r="D10" s="39"/>
      <c r="E10" s="41"/>
    </row>
    <row r="11" spans="1:5" ht="12.75">
      <c r="A11" s="2" t="s">
        <v>77</v>
      </c>
      <c r="B11" s="5">
        <v>0</v>
      </c>
      <c r="C11" s="4"/>
      <c r="D11" s="39"/>
      <c r="E11" s="41"/>
    </row>
    <row r="12" spans="1:5" ht="12.75">
      <c r="A12" s="2" t="s">
        <v>55</v>
      </c>
      <c r="B12" s="5">
        <v>0</v>
      </c>
      <c r="C12" s="4"/>
      <c r="D12" s="39"/>
      <c r="E12" s="41" t="s">
        <v>57</v>
      </c>
    </row>
    <row r="13" spans="1:5" ht="12.75">
      <c r="A13" s="2" t="s">
        <v>56</v>
      </c>
      <c r="B13" s="5">
        <v>0</v>
      </c>
      <c r="C13" s="4"/>
      <c r="D13" s="39"/>
      <c r="E13" s="54" t="s">
        <v>58</v>
      </c>
    </row>
    <row r="14" spans="1:5" ht="12.75">
      <c r="A14" s="91" t="s">
        <v>109</v>
      </c>
      <c r="B14" s="57">
        <v>0</v>
      </c>
      <c r="C14" s="4"/>
      <c r="D14" s="39"/>
      <c r="E14" s="58"/>
    </row>
    <row r="15" spans="1:5" ht="12.75">
      <c r="A15" s="17" t="s">
        <v>66</v>
      </c>
      <c r="B15" s="52">
        <v>0</v>
      </c>
      <c r="C15" s="7" t="s">
        <v>46</v>
      </c>
      <c r="D15" s="42"/>
      <c r="E15" s="88" t="s">
        <v>99</v>
      </c>
    </row>
    <row r="16" spans="1:5" ht="13.5" thickBot="1">
      <c r="A16" s="18" t="s">
        <v>59</v>
      </c>
      <c r="B16" s="30">
        <v>0</v>
      </c>
      <c r="C16" s="8" t="s">
        <v>46</v>
      </c>
      <c r="D16" s="85"/>
      <c r="E16" s="88" t="s">
        <v>100</v>
      </c>
    </row>
    <row r="17" spans="1:5" ht="12.75">
      <c r="A17" s="9"/>
      <c r="B17" s="10"/>
      <c r="C17" s="7"/>
      <c r="D17" s="85"/>
      <c r="E17" s="88" t="s">
        <v>101</v>
      </c>
    </row>
    <row r="18" spans="1:5" ht="12.75">
      <c r="A18" s="12" t="s">
        <v>33</v>
      </c>
      <c r="B18" s="31">
        <f>Berechnung!B76</f>
        <v>6822</v>
      </c>
      <c r="C18" s="4" t="s">
        <v>46</v>
      </c>
      <c r="D18" s="86"/>
      <c r="E18" s="87"/>
    </row>
    <row r="19" spans="1:6" ht="12.75">
      <c r="A19" s="12" t="s">
        <v>34</v>
      </c>
      <c r="B19" s="31">
        <f>Berechnung!B83/100</f>
        <v>375.21</v>
      </c>
      <c r="C19" s="4" t="s">
        <v>46</v>
      </c>
      <c r="D19" s="42"/>
      <c r="E19" s="51"/>
      <c r="F19" s="36"/>
    </row>
    <row r="20" spans="1:5" ht="12.75">
      <c r="A20" s="32" t="s">
        <v>35</v>
      </c>
      <c r="B20" s="33">
        <f>ROUNDDOWN(Berechnung!B97*B7/10000,2)</f>
        <v>0</v>
      </c>
      <c r="C20" s="14" t="s">
        <v>46</v>
      </c>
      <c r="D20" s="42"/>
      <c r="E20" s="43"/>
    </row>
    <row r="21" spans="1:5" ht="12.75">
      <c r="A21" s="82" t="s">
        <v>108</v>
      </c>
      <c r="B21" s="68">
        <f>IF(B5=1,0,ROUND(IF(B2&gt;IF(B13=1,68400,76200),IF(B13=1,68400,76200),B2)*0.0935,2))</f>
        <v>3927</v>
      </c>
      <c r="C21" s="59" t="s">
        <v>46</v>
      </c>
      <c r="D21" s="44"/>
      <c r="E21" s="45" t="s">
        <v>65</v>
      </c>
    </row>
    <row r="22" spans="1:5" ht="12.75">
      <c r="A22" s="83" t="str">
        <f>IF(B8=0,"Privat Krankenversichert ohne Nachweis",IF(B8&gt;20,"Basisprämie KV, AG-Anteil abgezogen",B8/2+B9&amp;" % Krankenversicherungsbeitrag"))</f>
        <v>8,4 % Krankenversicherungsbeitrag</v>
      </c>
      <c r="B22" s="69">
        <f>IF(B8&gt;20,IF(B10=0,B8*12,B8*6),IF(B8=0,0,ROUND(IF(B2&gt;52200,52200,B2),2))*(B8/200+B9*0.01))</f>
        <v>3527.9999999999995</v>
      </c>
      <c r="C22" s="62" t="s">
        <v>46</v>
      </c>
      <c r="D22" s="44"/>
      <c r="E22" s="46" t="s">
        <v>67</v>
      </c>
    </row>
    <row r="23" spans="1:5" ht="12.75">
      <c r="A23" s="60" t="str">
        <f>IF(B13=1,1.775,1.275)+IF(B11=1,0.25,0)&amp;"% Pflegeversicherung"</f>
        <v>1,275% Pflegeversicherung</v>
      </c>
      <c r="B23" s="61">
        <f>IF(B8=0,0,IF(B2&gt;52200,52200,B2)*(IF(B13=0,0.01275,0.01775)+IF(AND(B11=1,B6=0),0.0025,0)))</f>
        <v>535.5</v>
      </c>
      <c r="C23" s="62" t="s">
        <v>46</v>
      </c>
      <c r="D23" s="44"/>
      <c r="E23" s="46" t="s">
        <v>78</v>
      </c>
    </row>
    <row r="24" spans="1:5" ht="12.75">
      <c r="A24" s="60" t="s">
        <v>95</v>
      </c>
      <c r="B24" s="61">
        <f>IF(B5=1,0,ROUND(IF(B2&gt;IF(B12=1,68400,76200),IF(B12=1,68400,76200),B2)*0.015,2))</f>
        <v>630</v>
      </c>
      <c r="C24" s="62" t="s">
        <v>46</v>
      </c>
      <c r="D24" s="44"/>
      <c r="E24" s="47"/>
    </row>
    <row r="25" spans="1:5" ht="12.75">
      <c r="A25" s="2"/>
      <c r="B25" s="3"/>
      <c r="C25" s="4"/>
      <c r="D25" s="42"/>
      <c r="E25" s="48"/>
    </row>
    <row r="26" spans="1:5" ht="12.75">
      <c r="A26" s="13" t="s">
        <v>60</v>
      </c>
      <c r="B26" s="70">
        <f>SUM(B18:B24)</f>
        <v>15817.71</v>
      </c>
      <c r="C26" s="14" t="s">
        <v>46</v>
      </c>
      <c r="D26" s="42"/>
      <c r="E26" s="49"/>
    </row>
    <row r="27" spans="1:5" ht="13.5" thickBot="1">
      <c r="A27" s="15" t="s">
        <v>105</v>
      </c>
      <c r="B27" s="71">
        <f>B2-B26+B3</f>
        <v>26182.29</v>
      </c>
      <c r="C27" s="16" t="s">
        <v>46</v>
      </c>
      <c r="D27" s="50"/>
      <c r="E27" s="84" t="s">
        <v>114</v>
      </c>
    </row>
    <row r="28" spans="1:5" ht="12.75">
      <c r="A28" s="94" t="s">
        <v>72</v>
      </c>
      <c r="B28" s="94"/>
      <c r="C28" s="97" t="s">
        <v>61</v>
      </c>
      <c r="D28" s="97"/>
      <c r="E28" s="97"/>
    </row>
    <row r="29" spans="1:5" ht="12.75">
      <c r="A29" s="95" t="s">
        <v>106</v>
      </c>
      <c r="B29" s="96"/>
      <c r="C29" s="97" t="s">
        <v>107</v>
      </c>
      <c r="D29" s="97"/>
      <c r="E29" s="97"/>
    </row>
    <row r="30" spans="1:5" ht="12.75">
      <c r="A30" s="98" t="s">
        <v>112</v>
      </c>
      <c r="B30" s="99"/>
      <c r="C30" s="97" t="s">
        <v>113</v>
      </c>
      <c r="D30" s="97"/>
      <c r="E30" s="97"/>
    </row>
  </sheetData>
  <sheetProtection/>
  <mergeCells count="6">
    <mergeCell ref="A28:B28"/>
    <mergeCell ref="A29:B29"/>
    <mergeCell ref="C29:E29"/>
    <mergeCell ref="A30:B30"/>
    <mergeCell ref="C30:E30"/>
    <mergeCell ref="C28:E28"/>
  </mergeCells>
  <dataValidations count="5">
    <dataValidation type="list" allowBlank="1" showInputMessage="1" showErrorMessage="1" sqref="B5 B10:B13">
      <formula1>"0,1"</formula1>
    </dataValidation>
    <dataValidation type="whole" operator="notBetween" allowBlank="1" showInputMessage="1" showErrorMessage="1" sqref="B7">
      <formula1>1</formula1>
      <formula2>7</formula2>
    </dataValidation>
    <dataValidation type="list" allowBlank="1" showInputMessage="1" showErrorMessage="1" sqref="B4">
      <formula1>"1,2,3,4"</formula1>
    </dataValidation>
    <dataValidation type="list" allowBlank="1" showInputMessage="1" showErrorMessage="1" sqref="B6">
      <formula1>"0,0,5,1,1,5,2,2,5,3,3,5,4,4,5,5,5,5,6"</formula1>
    </dataValidation>
    <dataValidation type="list" allowBlank="1" showInputMessage="1" showErrorMessage="1" prompt="vor 1941=1, 1941=2, 1942=3, 1943=4, 1944=5, 1945=6,&#10;1946=7,1947=8,1948=9; 1949=10, 1950=11, 1951=12, 1952=13, nach 1952=0" sqref="B14">
      <formula1>"0,1,2,3,4,5,6,7,8,9,10,11,12,13"</formula1>
    </dataValidation>
  </dataValidations>
  <hyperlinks>
    <hyperlink ref="C29:E29" r:id="rId1" display="parmentier.ffm@t-online.de"/>
    <hyperlink ref="C30" r:id="rId2" display="http://www.parmentier.de/steuer/lohnsteuer2017.xls"/>
    <hyperlink ref="C28:E28" r:id="rId3" display="http://www.parmentier.de/steuer/steuer01.htm"/>
    <hyperlink ref="C29" r:id="rId4" display="steuer@parmentier.de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1">
      <selection activeCell="D18" sqref="D18"/>
    </sheetView>
  </sheetViews>
  <sheetFormatPr defaultColWidth="11.57421875" defaultRowHeight="12.75"/>
  <cols>
    <col min="1" max="1" width="12.00390625" style="1" customWidth="1"/>
    <col min="2" max="2" width="13.8515625" style="1" customWidth="1"/>
    <col min="3" max="3" width="11.421875" style="1" customWidth="1"/>
    <col min="4" max="4" width="15.421875" style="1" customWidth="1"/>
    <col min="5" max="16384" width="11.421875" style="1" customWidth="1"/>
  </cols>
  <sheetData>
    <row r="2" spans="1:4" ht="12.75">
      <c r="A2" s="34" t="s">
        <v>116</v>
      </c>
      <c r="B2" s="34"/>
      <c r="D2" s="67" t="s">
        <v>79</v>
      </c>
    </row>
    <row r="3" spans="1:2" ht="12.75">
      <c r="A3" s="1" t="s">
        <v>0</v>
      </c>
      <c r="B3" s="29">
        <f>Eingabe!B14</f>
        <v>0</v>
      </c>
    </row>
    <row r="4" spans="1:2" ht="12.75">
      <c r="A4" s="1" t="s">
        <v>4</v>
      </c>
      <c r="B4" s="1">
        <f>IF(Eingabe!B4&gt;4,0,Eingabe!B6)</f>
        <v>0</v>
      </c>
    </row>
    <row r="5" spans="1:2" ht="12.75">
      <c r="A5" s="1" t="s">
        <v>2</v>
      </c>
      <c r="B5" s="80">
        <v>1</v>
      </c>
    </row>
    <row r="6" spans="1:2" ht="12.75">
      <c r="A6" s="1" t="s">
        <v>1</v>
      </c>
      <c r="B6" s="1">
        <f>Eingabe!B5</f>
        <v>0</v>
      </c>
    </row>
    <row r="7" spans="1:4" ht="12.75">
      <c r="A7" s="1" t="s">
        <v>74</v>
      </c>
      <c r="B7" s="23">
        <f>Eingabe!B2*100</f>
        <v>4200000</v>
      </c>
      <c r="D7" s="29">
        <f>Eingabe!B3</f>
        <v>0</v>
      </c>
    </row>
    <row r="8" spans="1:2" ht="12.75">
      <c r="A8" s="1" t="s">
        <v>3</v>
      </c>
      <c r="B8" s="24">
        <f>Eingabe!B4</f>
        <v>1</v>
      </c>
    </row>
    <row r="9" spans="1:3" ht="12.75">
      <c r="A9" s="1" t="s">
        <v>76</v>
      </c>
      <c r="B9" s="25">
        <f>Eingabe!B16*100</f>
        <v>0</v>
      </c>
      <c r="C9" s="1" t="s">
        <v>40</v>
      </c>
    </row>
    <row r="10" spans="1:2" ht="12.75">
      <c r="A10" s="1" t="s">
        <v>75</v>
      </c>
      <c r="B10" s="35">
        <f>IF(B8=6,0,Eingabe!B15*100)</f>
        <v>0</v>
      </c>
    </row>
    <row r="11" spans="1:2" ht="12.75">
      <c r="A11" s="1" t="s">
        <v>86</v>
      </c>
      <c r="B11" s="35">
        <f>IF(Eingabe!B12=0,76200,68400)</f>
        <v>76200</v>
      </c>
    </row>
    <row r="12" spans="1:2" ht="12.75">
      <c r="A12" s="1" t="s">
        <v>87</v>
      </c>
      <c r="B12" s="76">
        <f>IF(Eingabe!$B$8&gt;20,MAX($B$38,ROUNDDOWN(Eingabe!$B$8*12,2)-IF(Eingabe!$B$10=1,IF(Eingabe!$B$11=1,0.07675,0.08175)*MIN(B7/100,52200),0)),0)</f>
        <v>0</v>
      </c>
    </row>
    <row r="13" spans="1:2" ht="12.75">
      <c r="A13" s="1" t="s">
        <v>88</v>
      </c>
      <c r="B13" s="77">
        <f>IF(Eingabe!B13=0,0.01275,0.01775)+IF(AND(Eingabe!B11=1,B4=0),0.0025,0)</f>
        <v>0.01275</v>
      </c>
    </row>
    <row r="14" spans="1:2" ht="12.75">
      <c r="A14" s="1" t="s">
        <v>89</v>
      </c>
      <c r="B14" s="29">
        <v>1</v>
      </c>
    </row>
    <row r="15" spans="1:2" ht="12.75">
      <c r="A15" s="20" t="s">
        <v>73</v>
      </c>
      <c r="B15" s="21"/>
    </row>
    <row r="16" spans="1:2" ht="12.75">
      <c r="A16" s="27" t="s">
        <v>62</v>
      </c>
      <c r="B16" s="1">
        <f>IF(B3=1,0.4,IF(B3=2,0.384,IF(B3=3,0.368,IF(B3=4,0.352,IF(B3=5,0.336,IF(B3=6,0.32,IF(B3=7,0.304,IF(B3=8,0.288,0))))))))+IF(B3=9,0.272,IF(B3=10,0.256,IF(B3=11,0.24,IF(B3=12,0.224,IF(B3=13,0.208,0)))))</f>
        <v>0</v>
      </c>
    </row>
    <row r="17" spans="1:2" ht="12.75">
      <c r="A17" s="1" t="s">
        <v>63</v>
      </c>
      <c r="B17" s="1">
        <f>IF(B3=1,190000,IF(B3=2,182400,IF(B3=3,174800,IF(B3=4,167200,IF(B3=5,159600,IF(B3=6,152000,IF(B3=7,144400,IF(B3=8,136800,0))))))))+IF(B3=9,129200,IF(B3=10,121600,IF(B3=11,114000,IF(B3=12,106400,IF(B3=13,98800,0)))))</f>
        <v>0</v>
      </c>
    </row>
    <row r="18" spans="1:2" ht="12.75">
      <c r="A18" s="1" t="s">
        <v>64</v>
      </c>
      <c r="B18" s="26">
        <f>B17</f>
        <v>0</v>
      </c>
    </row>
    <row r="19" spans="1:2" ht="12.75">
      <c r="A19" s="1" t="s">
        <v>6</v>
      </c>
      <c r="B19" s="1">
        <f>IF(B3=0,0,IF((B7*B16)&gt;B18,B18,B7*B16))</f>
        <v>0</v>
      </c>
    </row>
    <row r="20" spans="1:2" ht="12.75">
      <c r="A20" s="1" t="s">
        <v>8</v>
      </c>
      <c r="B20" s="35">
        <f>B7-B9+B10-B19</f>
        <v>4200000</v>
      </c>
    </row>
    <row r="21" spans="1:2" ht="12.75">
      <c r="A21" s="1" t="s">
        <v>32</v>
      </c>
      <c r="B21" s="35">
        <f>B7</f>
        <v>4200000</v>
      </c>
    </row>
    <row r="23" spans="1:2" ht="12.75">
      <c r="A23" s="20" t="s">
        <v>7</v>
      </c>
      <c r="B23" s="21"/>
    </row>
    <row r="24" spans="1:2" ht="12.75">
      <c r="A24" s="1" t="s">
        <v>8</v>
      </c>
      <c r="B24" s="25">
        <f>B20/100</f>
        <v>42000</v>
      </c>
    </row>
    <row r="25" spans="1:2" ht="12.75">
      <c r="A25" s="1" t="s">
        <v>32</v>
      </c>
      <c r="B25" s="25">
        <f>B21/100</f>
        <v>42000</v>
      </c>
    </row>
    <row r="26" ht="12.75">
      <c r="B26" s="29"/>
    </row>
    <row r="27" spans="1:2" ht="12.75">
      <c r="A27" s="20" t="s">
        <v>9</v>
      </c>
      <c r="B27" s="21"/>
    </row>
    <row r="28" spans="1:2" ht="12.75">
      <c r="A28" s="1" t="s">
        <v>10</v>
      </c>
      <c r="B28" s="1">
        <f>IF(B8=3,2,1)</f>
        <v>1</v>
      </c>
    </row>
    <row r="29" spans="1:2" ht="12.75">
      <c r="A29" s="1" t="s">
        <v>11</v>
      </c>
      <c r="B29" s="1">
        <v>1000</v>
      </c>
    </row>
    <row r="30" spans="1:3" ht="12.75">
      <c r="A30" s="1" t="s">
        <v>38</v>
      </c>
      <c r="B30" s="1">
        <f>IF(B8=2,1908,0)</f>
        <v>0</v>
      </c>
      <c r="C30" s="28"/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IF(B8&lt;4,B4*7356,IF(B8=4,B4*3678,0))</f>
        <v>0</v>
      </c>
    </row>
    <row r="33" spans="1:2" ht="12.75">
      <c r="A33" s="1" t="s">
        <v>14</v>
      </c>
      <c r="B33" s="1">
        <f>IF(B8=6,0,B29+B30+B31)</f>
        <v>1036</v>
      </c>
    </row>
    <row r="35" spans="1:2" ht="12.75">
      <c r="A35" s="20" t="s">
        <v>41</v>
      </c>
      <c r="B35" s="22"/>
    </row>
    <row r="36" spans="1:2" ht="12.75">
      <c r="A36" s="1" t="s">
        <v>32</v>
      </c>
      <c r="B36" s="29">
        <f>MIN(B11,B25)</f>
        <v>42000</v>
      </c>
    </row>
    <row r="37" spans="1:2" ht="12.75">
      <c r="A37" s="1" t="s">
        <v>42</v>
      </c>
      <c r="B37" s="29">
        <f>IF(B6=1,0,ROUNDDOWN(0.68*B36*0.0935,2))</f>
        <v>2670.36</v>
      </c>
    </row>
    <row r="38" spans="1:2" ht="12.75">
      <c r="A38" s="27" t="s">
        <v>44</v>
      </c>
      <c r="B38" s="29">
        <f>IF(B28=1,1900,3000)</f>
        <v>1900</v>
      </c>
    </row>
    <row r="39" spans="1:2" ht="12.75">
      <c r="A39" s="27" t="s">
        <v>43</v>
      </c>
      <c r="B39" s="29">
        <f>MIN(B38,ROUNDDOWN(0.12*B36,2))</f>
        <v>1900</v>
      </c>
    </row>
    <row r="40" spans="1:2" ht="12.75">
      <c r="A40" s="27" t="str">
        <f>IF(Eingabe!B9=0,"KVSatz=0",7+Eingabe!B9&amp;" % + PV")</f>
        <v>8,1 % + PV</v>
      </c>
      <c r="B40" s="78">
        <f>IF(Eingabe!B8=0,0,0.07+Eingabe!B9/100+B13)</f>
        <v>0.09375</v>
      </c>
    </row>
    <row r="41" spans="1:2" ht="12.75">
      <c r="A41" s="27" t="s">
        <v>90</v>
      </c>
      <c r="B41" s="29">
        <f>IF(B12&gt;0,IF(B8=6,0,B12),ROUNDDOWN(MIN(B25,52200)*B40*100,0)/100)</f>
        <v>3937.5</v>
      </c>
    </row>
    <row r="42" spans="1:2" ht="12.75">
      <c r="A42" s="27" t="s">
        <v>91</v>
      </c>
      <c r="B42" s="29">
        <f>IF(B41&gt;B38,B41,B39)</f>
        <v>3937.5</v>
      </c>
    </row>
    <row r="43" spans="1:2" ht="12.75">
      <c r="A43" s="27" t="s">
        <v>45</v>
      </c>
      <c r="B43" s="29">
        <f>ROUNDUP(B37+B42,0)</f>
        <v>6608</v>
      </c>
    </row>
    <row r="44" spans="1:2" ht="12.75">
      <c r="A44" s="27"/>
      <c r="B44" s="29"/>
    </row>
    <row r="45" spans="1:2" ht="12.75">
      <c r="A45" s="20" t="s">
        <v>25</v>
      </c>
      <c r="B45" s="21"/>
    </row>
    <row r="46" spans="1:2" ht="12.75">
      <c r="A46" s="1" t="s">
        <v>15</v>
      </c>
      <c r="B46" s="25">
        <f>ROUNDDOWN(B24-B33-B43,0)</f>
        <v>34356</v>
      </c>
    </row>
    <row r="47" spans="1:2" ht="12.75">
      <c r="A47" s="1" t="s">
        <v>92</v>
      </c>
      <c r="B47" s="25">
        <f>MAX(0,ROUNDDOWN(B46/B28,0))</f>
        <v>34356</v>
      </c>
    </row>
    <row r="49" spans="1:5" ht="12.75">
      <c r="A49" s="20" t="s">
        <v>117</v>
      </c>
      <c r="B49" s="21"/>
      <c r="D49" s="21" t="s">
        <v>80</v>
      </c>
      <c r="E49" s="21"/>
    </row>
    <row r="50" spans="1:4" ht="12.75">
      <c r="A50" s="27" t="s">
        <v>98</v>
      </c>
      <c r="B50" s="25">
        <f>B47+D7</f>
        <v>34356</v>
      </c>
      <c r="D50" s="1">
        <f>B51/B50</f>
        <v>0.1985679357317499</v>
      </c>
    </row>
    <row r="51" spans="1:2" ht="12.75">
      <c r="A51" s="27" t="s">
        <v>17</v>
      </c>
      <c r="B51" s="25">
        <f>IF(B50&lt;=8820,0,IF(B50&lt;=13769,INT((1007.27*(B50-8820)/10000+1400)*(B50-8820)/10000),IF(B50&lt;=54057,INT((223.76*(B50-13769)/10000+2397)*(B50-13769)/10000+939.57),IF(B50&lt;=256303,INT(B50*0.42-8475.44),INT(B50*0.45-16164.53)))))*B28</f>
        <v>6822</v>
      </c>
    </row>
    <row r="52" spans="1:2" ht="12.75">
      <c r="A52" s="79" t="s">
        <v>96</v>
      </c>
      <c r="B52" s="1">
        <f>ROUNDDOWN(B47*D50,0)</f>
        <v>6822</v>
      </c>
    </row>
    <row r="53" spans="1:2" ht="12.75">
      <c r="A53" s="20" t="s">
        <v>20</v>
      </c>
      <c r="B53" s="21"/>
    </row>
    <row r="54" spans="1:2" ht="12.75">
      <c r="A54" s="1" t="s">
        <v>16</v>
      </c>
      <c r="B54" s="25">
        <f>MIN(27029,B47)*1.25</f>
        <v>33786.25</v>
      </c>
    </row>
    <row r="55" spans="1:2" ht="12.75">
      <c r="A55" s="1" t="s">
        <v>21</v>
      </c>
      <c r="B55" s="1">
        <f>IF(B54&lt;=8820,0,IF(B54&lt;=13769,INT((1007.27*(B54-8820)/10000+1400)*(B54-8820)/10000),IF(B54&lt;=54057,INT((223.76*(B54-13769)/10000+2397)*(B54-13769)/10000+939.57),IF(B54&lt;=256303,INT(B54*0.42-8475.44),INT(B54*0.45-16164.53)))))</f>
        <v>6634</v>
      </c>
    </row>
    <row r="56" spans="1:2" ht="12.75">
      <c r="A56" s="1" t="s">
        <v>16</v>
      </c>
      <c r="B56" s="25">
        <f>MIN(27029,B47)*0.75</f>
        <v>20271.75</v>
      </c>
    </row>
    <row r="57" spans="1:2" ht="12.75">
      <c r="A57" s="1" t="s">
        <v>22</v>
      </c>
      <c r="B57" s="1">
        <f>IF(B56&lt;=8820,0,IF(B56&lt;=13769,INT((1007.27*(B56-8820)/10000+1400)*(B56-8820)/10000),IF(B56&lt;=54057,INT((223.76*(B56-13769)/10000+2397)*(B56-13769)/10000+939.57),IF(B56&lt;=256303,INT(B56*0.42-8475.44),INT(B56*0.45-16164.53)))))</f>
        <v>2592</v>
      </c>
    </row>
    <row r="58" spans="1:2" ht="12.75">
      <c r="A58" s="1" t="s">
        <v>23</v>
      </c>
      <c r="B58" s="25">
        <f>(B55-B57)*2</f>
        <v>8084</v>
      </c>
    </row>
    <row r="59" spans="1:2" ht="12.75">
      <c r="A59" s="1" t="s">
        <v>24</v>
      </c>
      <c r="B59" s="1">
        <f>ROUNDDOWN(MIN(B47,27029)*0.14,0)</f>
        <v>3784</v>
      </c>
    </row>
    <row r="60" spans="1:2" ht="12.75">
      <c r="A60" s="1" t="s">
        <v>17</v>
      </c>
      <c r="B60" s="25">
        <f>MAX(B58,B59)</f>
        <v>8084</v>
      </c>
    </row>
    <row r="61" spans="1:2" ht="12.75">
      <c r="A61" s="1" t="s">
        <v>17</v>
      </c>
      <c r="B61" s="25">
        <f>IF(B47&gt;205043,(205043-27029)*0.42+B60,ROUNDDOWN(MAX(B47-27029,0)*0.42+B60,0))</f>
        <v>11161</v>
      </c>
    </row>
    <row r="62" spans="1:2" ht="12.75">
      <c r="A62" s="1" t="s">
        <v>70</v>
      </c>
      <c r="B62" s="1">
        <f>IF(AND(B47&gt;10240,B47&lt;=27029),B60,0)</f>
        <v>0</v>
      </c>
    </row>
    <row r="63" spans="1:4" ht="12.75">
      <c r="A63" s="1" t="s">
        <v>17</v>
      </c>
      <c r="B63" s="25">
        <v>1433.6</v>
      </c>
      <c r="D63" s="90" t="s">
        <v>115</v>
      </c>
    </row>
    <row r="64" spans="1:2" ht="12.75">
      <c r="A64" s="1" t="s">
        <v>17</v>
      </c>
      <c r="B64" s="25">
        <f>MIN(ROUNDDOWN(MAX(B47-10240,0)*0.42+B63,0),B61)</f>
        <v>11161</v>
      </c>
    </row>
    <row r="65" spans="1:2" ht="12.75">
      <c r="A65" s="1" t="s">
        <v>71</v>
      </c>
      <c r="B65" s="25">
        <f>ROUNDDOWN(MAX(B47-205043,0)*0.45+B64,0)</f>
        <v>11161</v>
      </c>
    </row>
    <row r="66" spans="1:2" ht="12.75">
      <c r="A66" s="1" t="s">
        <v>18</v>
      </c>
      <c r="B66" s="1">
        <f>ROUNDDOWN(IF(AND(B8&lt;5,D7&gt;0),B52,IF(B8&gt;4,B65,B51)),0)</f>
        <v>6822</v>
      </c>
    </row>
    <row r="67" spans="1:2" ht="12.75">
      <c r="A67" s="1" t="s">
        <v>5</v>
      </c>
      <c r="B67" s="1">
        <f>B66</f>
        <v>6822</v>
      </c>
    </row>
    <row r="69" spans="1:5" ht="12.75">
      <c r="A69" s="20" t="s">
        <v>69</v>
      </c>
      <c r="B69" s="21"/>
      <c r="D69" s="89" t="s">
        <v>104</v>
      </c>
      <c r="E69" s="89"/>
    </row>
    <row r="71" spans="1:5" ht="12.75">
      <c r="A71" s="1" t="s">
        <v>36</v>
      </c>
      <c r="B71" s="1">
        <f>B67</f>
        <v>6822</v>
      </c>
      <c r="D71" s="25" t="s">
        <v>103</v>
      </c>
      <c r="E71" s="25">
        <f>B50-B32</f>
        <v>34356</v>
      </c>
    </row>
    <row r="72" spans="1:5" ht="12.75">
      <c r="A72" s="1" t="s">
        <v>14</v>
      </c>
      <c r="B72" s="1">
        <f>B32+B33</f>
        <v>1036</v>
      </c>
      <c r="D72" s="1" t="s">
        <v>17</v>
      </c>
      <c r="E72" s="1">
        <f>IF(E71&lt;=8820,0,IF(E71&lt;=13769,INT((1007.27*(E71-8820)/10000+1400)*(E71-8820)/10000),IF(E71&lt;=54057,INT((223.76*(E71-13769)/10000+2397)*(E71-13769)/10000+939.57),IF(E71&lt;=256303,INT(E71*0.42-8475.44),INT(E71*0.45-16164.53)))))</f>
        <v>6822</v>
      </c>
    </row>
    <row r="73" spans="1:5" ht="12.75">
      <c r="A73" s="1" t="s">
        <v>15</v>
      </c>
      <c r="B73" s="25">
        <f>B24-B43-B72</f>
        <v>34356</v>
      </c>
      <c r="D73" s="1" t="s">
        <v>102</v>
      </c>
      <c r="E73" s="1">
        <f>ROUND(E72/E71,6)</f>
        <v>0.198568</v>
      </c>
    </row>
    <row r="74" spans="1:5" ht="12.75">
      <c r="A74" s="1" t="s">
        <v>39</v>
      </c>
      <c r="B74" s="1">
        <f>IF(B73&lt;36,0,ROUNDDOWN(B73/B28,0))</f>
        <v>34356</v>
      </c>
      <c r="D74" s="1" t="s">
        <v>17</v>
      </c>
      <c r="E74" s="25">
        <f>ROUNDDOWN(B74*E73,0)</f>
        <v>6822</v>
      </c>
    </row>
    <row r="75" spans="1:2" ht="12.75">
      <c r="A75" s="1" t="s">
        <v>17</v>
      </c>
      <c r="B75" s="1">
        <f>IF(B74&lt;=8820,0,IF(B74&lt;=13769,INT((1007.27*(B74-8820)/10000+1400)*(B74-8820)/10000),IF(B74&lt;=54057,INT((223.76*(B74-13769)/10000+2397)*(B74-13769)/10000+939.57),IF(B74&lt;=256303,INT(B74*0.42-8475.44),INT(B74*0.45-16164.53)))))*B28</f>
        <v>6822</v>
      </c>
    </row>
    <row r="76" spans="1:2" ht="12.75">
      <c r="A76" s="1" t="s">
        <v>26</v>
      </c>
      <c r="B76" s="1">
        <f>IF(B4&gt;0,ROUNDDOWN(B75*B14,0),B66)</f>
        <v>6822</v>
      </c>
    </row>
    <row r="78" spans="1:5" ht="12.75">
      <c r="A78" s="20" t="s">
        <v>27</v>
      </c>
      <c r="B78" s="21"/>
      <c r="D78" s="20" t="s">
        <v>27</v>
      </c>
      <c r="E78" s="21"/>
    </row>
    <row r="79" spans="1:5" ht="12.75">
      <c r="A79" s="1" t="s">
        <v>28</v>
      </c>
      <c r="B79" s="1">
        <f>972*B28</f>
        <v>972</v>
      </c>
      <c r="D79" s="1" t="s">
        <v>28</v>
      </c>
      <c r="E79" s="1">
        <f>972*B28</f>
        <v>972</v>
      </c>
    </row>
    <row r="80" spans="1:5" ht="12.75">
      <c r="A80" s="1" t="s">
        <v>29</v>
      </c>
      <c r="B80" s="29">
        <f>ROUNDDOWN((B76*5.5)/100,2)</f>
        <v>375.21</v>
      </c>
      <c r="D80" s="1" t="s">
        <v>29</v>
      </c>
      <c r="E80" s="29">
        <f>ROUNDDOWN((E74*5.5)/100,2)</f>
        <v>375.21</v>
      </c>
    </row>
    <row r="81" spans="1:5" ht="12.75">
      <c r="A81" s="1" t="s">
        <v>30</v>
      </c>
      <c r="B81" s="29">
        <f>MAX(((B76-B79)*20)/100,0)</f>
        <v>1170</v>
      </c>
      <c r="D81" s="1" t="s">
        <v>30</v>
      </c>
      <c r="E81" s="29">
        <f>MAX(((E74-E79)*20)/100,0)</f>
        <v>1170</v>
      </c>
    </row>
    <row r="82" spans="1:5" ht="12.75">
      <c r="A82" s="1" t="s">
        <v>29</v>
      </c>
      <c r="B82" s="29">
        <f>MIN(B81,B80)</f>
        <v>375.21</v>
      </c>
      <c r="D82" s="1" t="s">
        <v>29</v>
      </c>
      <c r="E82" s="29">
        <f>MIN(E81,E80)</f>
        <v>375.21</v>
      </c>
    </row>
    <row r="83" spans="1:5" ht="12.75">
      <c r="A83" s="1" t="s">
        <v>5</v>
      </c>
      <c r="B83" s="1">
        <f>IF(D7=0,B82*100,E83)</f>
        <v>37521</v>
      </c>
      <c r="D83" s="1" t="s">
        <v>5</v>
      </c>
      <c r="E83" s="1">
        <f>E82*100</f>
        <v>37521</v>
      </c>
    </row>
    <row r="85" spans="1:2" ht="12.75">
      <c r="A85" s="20" t="s">
        <v>68</v>
      </c>
      <c r="B85" s="21"/>
    </row>
    <row r="86" spans="1:2" ht="12.75">
      <c r="A86" s="1" t="s">
        <v>19</v>
      </c>
      <c r="B86" s="1">
        <f>ROUNDDOWN(IF(B5=1,B83,IF(B5=2,B83/12,IF(B5=3,(B83*7)/360,B83/360))),0)</f>
        <v>37521</v>
      </c>
    </row>
    <row r="87" spans="1:5" ht="12.75">
      <c r="A87" s="1" t="s">
        <v>37</v>
      </c>
      <c r="B87" s="1">
        <f>IF(B76&gt;B79,B86,0)</f>
        <v>37521</v>
      </c>
      <c r="E87" s="29"/>
    </row>
    <row r="88" spans="1:2" ht="12.75">
      <c r="A88" s="1" t="s">
        <v>5</v>
      </c>
      <c r="B88" s="1">
        <f>B76*100</f>
        <v>682200</v>
      </c>
    </row>
    <row r="90" spans="1:2" ht="12.75">
      <c r="A90" s="20" t="s">
        <v>31</v>
      </c>
      <c r="B90" s="21"/>
    </row>
    <row r="91" spans="1:2" ht="12.75">
      <c r="A91" s="1" t="s">
        <v>19</v>
      </c>
      <c r="B91" s="1">
        <f>ROUNDDOWN(IF(B5=1,B88,IF(B5=2,B88/12,IF(B5=3,(B88*7)/360,B88/360))),0)</f>
        <v>682200</v>
      </c>
    </row>
    <row r="92" spans="1:2" ht="12.75">
      <c r="A92" s="1" t="s">
        <v>31</v>
      </c>
      <c r="B92" s="1">
        <f>B91</f>
        <v>682200</v>
      </c>
    </row>
    <row r="95" spans="1:2" ht="12.75">
      <c r="A95" s="20" t="s">
        <v>31</v>
      </c>
      <c r="B95" s="21"/>
    </row>
    <row r="96" spans="1:2" ht="12.75">
      <c r="A96" s="1" t="s">
        <v>19</v>
      </c>
      <c r="B96" s="1">
        <f>ROUNDDOWN(IF(B5=1,B92,IF(B5=2,B92/12,IF(B5=3,(B92*7)/360,B92/360))),0)</f>
        <v>682200</v>
      </c>
    </row>
    <row r="97" spans="1:2" ht="12.75">
      <c r="A97" s="1" t="s">
        <v>31</v>
      </c>
      <c r="B97" s="1">
        <f>B96</f>
        <v>682200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http://www.parmentier.de/steuer/lohnsteuer_mit_KUG.xls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Lohnsteuerberechnung mit KUG</dc:subject>
  <dc:creator>Parmentier</dc:creator>
  <cp:keywords>Lohn neben Einnahmen mit Progressionsvorbehalt</cp:keywords>
  <dc:description/>
  <cp:lastModifiedBy>Johannes Parmentier</cp:lastModifiedBy>
  <cp:lastPrinted>2006-02-07T15:12:52Z</cp:lastPrinted>
  <dcterms:created xsi:type="dcterms:W3CDTF">1999-02-09T12:11:13Z</dcterms:created>
  <dcterms:modified xsi:type="dcterms:W3CDTF">2016-12-19T16:54:28Z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