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" yWindow="460" windowWidth="32520" windowHeight="18040" activeTab="0"/>
  </bookViews>
  <sheets>
    <sheet name="Eingabe" sheetId="1" r:id="rId1"/>
    <sheet name="Berechnung" sheetId="2" r:id="rId2"/>
  </sheets>
  <externalReferences>
    <externalReference r:id="rId5"/>
  </externalReferences>
  <definedNames>
    <definedName name="BearbJahr">'Berechnung'!$B$1</definedName>
  </definedNames>
  <calcPr fullCalcOnLoad="1" fullPrecision="0" iterate="1" iterateCount="100" iterateDelta="0.001"/>
</workbook>
</file>

<file path=xl/comments2.xml><?xml version="1.0" encoding="utf-8"?>
<comments xmlns="http://schemas.openxmlformats.org/spreadsheetml/2006/main">
  <authors>
    <author>Herbert Grom</author>
    <author>1HG</author>
  </authors>
  <commentList>
    <comment ref="B1" authorId="0">
      <text>
        <r>
          <rPr>
            <b/>
            <sz val="14"/>
            <color indexed="8"/>
            <rFont val="Segoe UI"/>
            <family val="2"/>
          </rPr>
          <t>Bearbeitungsjahr</t>
        </r>
      </text>
    </comment>
    <comment ref="E15" authorId="1">
      <text>
        <r>
          <rPr>
            <b/>
            <sz val="14"/>
            <rFont val="Segoe UI"/>
            <family val="2"/>
          </rPr>
          <t>WEST</t>
        </r>
      </text>
    </comment>
    <comment ref="E16" authorId="1">
      <text>
        <r>
          <rPr>
            <b/>
            <sz val="14"/>
            <rFont val="Segoe UI"/>
            <family val="2"/>
          </rPr>
          <t>OST</t>
        </r>
      </text>
    </comment>
    <comment ref="E28" authorId="1">
      <text>
        <r>
          <rPr>
            <b/>
            <sz val="14"/>
            <rFont val="Segoe UI"/>
            <family val="2"/>
          </rPr>
          <t>KinderFreibeträge</t>
        </r>
      </text>
    </comment>
    <comment ref="C37" authorId="1">
      <text>
        <r>
          <rPr>
            <b/>
            <sz val="12"/>
            <rFont val="Segoe UI"/>
            <family val="2"/>
          </rPr>
          <t>Zu versteuerndes Einkommen</t>
        </r>
      </text>
    </comment>
    <comment ref="F19" authorId="0">
      <text>
        <r>
          <rPr>
            <sz val="10"/>
            <rFont val="Arial"/>
            <family val="0"/>
          </rPr>
          <t xml:space="preserve">Basis 2015 ist 0,60. 
</t>
        </r>
        <r>
          <rPr>
            <sz val="10"/>
            <rFont val="Arial"/>
            <family val="0"/>
          </rPr>
          <t>Jedes folgende Jahr + 0,04</t>
        </r>
      </text>
    </comment>
  </commentList>
</comments>
</file>

<file path=xl/sharedStrings.xml><?xml version="1.0" encoding="utf-8"?>
<sst xmlns="http://schemas.openxmlformats.org/spreadsheetml/2006/main" count="168" uniqueCount="125">
  <si>
    <t>KRV</t>
  </si>
  <si>
    <t>LZZ</t>
  </si>
  <si>
    <t>STKL</t>
  </si>
  <si>
    <t>ZKF</t>
  </si>
  <si>
    <t>JW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</si>
  <si>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</si>
  <si>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</si>
  <si>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</si>
  <si>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</si>
  <si>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</si>
  <si>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</si>
  <si>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</si>
  <si>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</si>
  <si>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</si>
  <si>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</si>
  <si>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</si>
  <si>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</si>
  <si>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</si>
  <si>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</si>
  <si>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</si>
  <si>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</si>
  <si>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</si>
  <si>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</si>
  <si>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</si>
  <si>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</si>
  <si>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</si>
  <si>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</si>
  <si>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</si>
  <si>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</si>
  <si>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</si>
  <si>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</si>
  <si>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</si>
  <si>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</si>
  <si>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</si>
  <si>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</si>
  <si>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</si>
  <si>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</si>
  <si>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</si>
  <si>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</si>
  <si>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</si>
  <si>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</si>
  <si>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</si>
  <si>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</si>
  <si>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</si>
  <si>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Kirchensteuer (0=keine, 8=8%, 9=9%)</t>
  </si>
  <si>
    <t>%</t>
  </si>
  <si>
    <t>(Jahres)lohnsteuerfreibetrag auf LStKarte</t>
  </si>
  <si>
    <t>Abzüge</t>
  </si>
  <si>
    <t>Nettolohn</t>
  </si>
  <si>
    <t>(Jahres)Hinzurechnungen</t>
  </si>
  <si>
    <t>SOLZ</t>
  </si>
  <si>
    <t>MLSTJAHR</t>
  </si>
  <si>
    <t>VERGL</t>
  </si>
  <si>
    <t>MIT REICHST</t>
  </si>
  <si>
    <t xml:space="preserve">        Weitere Lohn- und Einkommensteuerberechnungsprogramme unter</t>
  </si>
  <si>
    <t>ZRE4J</t>
  </si>
  <si>
    <t>JLHINZU</t>
  </si>
  <si>
    <t>JLFREIB</t>
  </si>
  <si>
    <t>KV</t>
  </si>
  <si>
    <t>KV&gt;VHB?</t>
  </si>
  <si>
    <t>PV%</t>
  </si>
  <si>
    <t>FAKTOR F</t>
  </si>
  <si>
    <r>
      <t xml:space="preserve">                    Wolfgang</t>
    </r>
    <r>
      <rPr>
        <sz val="9"/>
        <rFont val="Calibri"/>
        <family val="2"/>
      </rPr>
      <t>†</t>
    </r>
    <r>
      <rPr>
        <sz val="9"/>
        <rFont val="Arial"/>
        <family val="2"/>
      </rPr>
      <t xml:space="preserve"> und Johannes Parmentier Frankfurt am Main e-Mail: </t>
    </r>
  </si>
  <si>
    <t>steuer@parmentier.de</t>
  </si>
  <si>
    <t>BBGRV</t>
  </si>
  <si>
    <t>W1STKL5</t>
  </si>
  <si>
    <t>W2STKL5</t>
  </si>
  <si>
    <t>W3STKL5</t>
  </si>
  <si>
    <t>BBGKVPV</t>
  </si>
  <si>
    <t>KVSATZAG</t>
  </si>
  <si>
    <t>GFB</t>
  </si>
  <si>
    <t>TBSVORV</t>
  </si>
  <si>
    <t>MPARA</t>
  </si>
  <si>
    <t>Ehegattenfaktor nur für StKl IV</t>
  </si>
  <si>
    <t>Kinderfreibetrag (0, 0.5, 1, 1.5, 2.0, 2.5 usw)</t>
  </si>
  <si>
    <t>Krankenkassen-Zusatzbeitragsatz AN</t>
  </si>
  <si>
    <t>kinderlos u. über 23j. (PflegeV)  nein=0 ja=1</t>
  </si>
  <si>
    <t>Arbeitsstelle in Ostdeutschland  nein=0 ja=1</t>
  </si>
  <si>
    <t>und dabei in Sachsen                  nein=0 ja=1</t>
  </si>
  <si>
    <t>KVSATZ</t>
  </si>
  <si>
    <t>KV_Zusatz</t>
  </si>
  <si>
    <t>RV_Satz</t>
  </si>
  <si>
    <t>AV_Satz</t>
  </si>
  <si>
    <t>PV_Satz</t>
  </si>
  <si>
    <t>PV_Satz Sachsen</t>
  </si>
  <si>
    <t>Bezeichnung</t>
  </si>
  <si>
    <t>VHB / VSP2</t>
  </si>
  <si>
    <t>SOLI</t>
  </si>
  <si>
    <t>KV-Beitragssatz</t>
  </si>
  <si>
    <t>Das Programm ist FreeWare. Es kann von jedem nach seinen Wünschen verändert werden. Das Layout ist einfachst gestaltet. 
Bei Ansicht unter Fensteroptionen Kästchen Formeln aktivieren.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</si>
  <si>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eingeben und 
</t>
    </r>
    <r>
      <rPr>
        <b/>
        <sz val="10"/>
        <color indexed="10"/>
        <rFont val="Arial"/>
        <family val="2"/>
      </rPr>
      <t>Eingabe mit "ENTER"-Taste abschließen.</t>
    </r>
  </si>
  <si>
    <t>Berechnet</t>
  </si>
  <si>
    <t>BMF - PAP - ANGABEN</t>
  </si>
  <si>
    <t>WERT</t>
  </si>
  <si>
    <t>Name</t>
  </si>
  <si>
    <t>Bereich</t>
  </si>
  <si>
    <t>SATZ</t>
  </si>
  <si>
    <t>ohne / mit Kind</t>
  </si>
  <si>
    <t>LST</t>
  </si>
  <si>
    <t>im Jahr=1, Monat=2, Woche=3, Tag=4</t>
  </si>
  <si>
    <t>allgemeine(=0) oder besondere (=1) Lsttabelle</t>
  </si>
  <si>
    <t>Altersentlastungsbetrag</t>
  </si>
  <si>
    <t>MRE4ALTE</t>
  </si>
  <si>
    <t>TAB4</t>
  </si>
  <si>
    <t>TAB5</t>
  </si>
  <si>
    <t>ALTEANTEIL</t>
  </si>
  <si>
    <t>ALTE</t>
  </si>
  <si>
    <t>ZRE4</t>
  </si>
  <si>
    <t>MRE4</t>
  </si>
  <si>
    <t>ZZX</t>
  </si>
  <si>
    <t>Gewünschter Nettolohn</t>
  </si>
  <si>
    <t>Arbeitgeberzuschuss zur privaten KV  nein=0, ja=1</t>
  </si>
  <si>
    <r>
      <rPr>
        <b/>
        <sz val="10"/>
        <color indexed="12"/>
        <rFont val="Arial"/>
        <family val="2"/>
      </rPr>
      <t>KV-Beitragssatz ohne Zusatzbeitrag eingeben!</t>
    </r>
    <r>
      <rPr>
        <sz val="10"/>
        <rFont val="Arial"/>
        <family val="0"/>
      </rPr>
      <t xml:space="preserve">
(seit 2011 KV-Beitragssatz 14,6%, reduz. 14,0%) ) bzw. PKV-Basisprämie (incl. PV). Ohne Nachweis 0 eingeben.</t>
    </r>
  </si>
  <si>
    <t>KVSATZ AG</t>
  </si>
  <si>
    <t>PKV</t>
  </si>
  <si>
    <t>FAKTOR LZZ</t>
  </si>
  <si>
    <t>FLZZ</t>
  </si>
  <si>
    <t>http://www.parmentier.de/steuer/index.php</t>
  </si>
  <si>
    <t>9,3% Rentenversicherung</t>
  </si>
  <si>
    <t>UPTAB19</t>
  </si>
  <si>
    <t>1,25% Arbeitslosenversicherung</t>
  </si>
  <si>
    <t>KV plus PV AG</t>
  </si>
  <si>
    <t>KV ZUSATZ Schnitt</t>
  </si>
  <si>
    <t>UPTAB</t>
  </si>
  <si>
    <t>Stand 2.1.2019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</si>
</sst>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00"/>
    <numFmt numFmtId="174" formatCode="0.000"/>
    <numFmt numFmtId="175" formatCode="_-* #,##0.00\ [$€-1]_-;\-* #,##0.00\ [$€-1]_-;_-* &quot;-&quot;??\ [$€-1]_-"/>
    <numFmt numFmtId="176" formatCode="#,##0.00_ ;\-#,##0.00\ "/>
    <numFmt numFmtId="177" formatCode="0.000%"/>
    <numFmt numFmtId="178" formatCode="0.00000_ ;\-0.00000\ "/>
    <numFmt numFmtId="179" formatCode="0_ ;\-0\ "/>
    <numFmt numFmtId="180" formatCode="[$-407]dddd\,\ d\.\ mmmm\ yyyy"/>
    <numFmt numFmtId="181" formatCode="#,##0.0000000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2"/>
      <color indexed="58"/>
      <name val="Arial"/>
      <family val="2"/>
    </font>
    <font>
      <b/>
      <sz val="14"/>
      <name val="Arial"/>
      <family val="2"/>
    </font>
    <font>
      <b/>
      <sz val="14"/>
      <name val="Segoe UI"/>
      <family val="2"/>
    </font>
    <font>
      <b/>
      <sz val="12"/>
      <name val="Segoe UI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21"/>
      <name val="Arial"/>
      <family val="2"/>
    </font>
    <font>
      <b/>
      <sz val="20"/>
      <color indexed="9"/>
      <name val="Arial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rgb="FF00B050"/>
      <name val="Arial"/>
      <family val="2"/>
    </font>
    <font>
      <b/>
      <sz val="20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2" fillId="34" borderId="13" xfId="0" applyFont="1" applyFill="1" applyBorder="1" applyAlignment="1">
      <alignment/>
    </xf>
    <xf numFmtId="4" fontId="62" fillId="34" borderId="14" xfId="0" applyNumberFormat="1" applyFont="1" applyFill="1" applyBorder="1" applyAlignment="1">
      <alignment/>
    </xf>
    <xf numFmtId="0" fontId="63" fillId="34" borderId="13" xfId="0" applyFont="1" applyFill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5" fontId="12" fillId="0" borderId="0" xfId="0" applyNumberFormat="1" applyFont="1" applyAlignment="1">
      <alignment horizontal="center"/>
    </xf>
    <xf numFmtId="0" fontId="15" fillId="0" borderId="10" xfId="0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/>
    </xf>
    <xf numFmtId="2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35" borderId="10" xfId="0" applyFont="1" applyFill="1" applyBorder="1" applyAlignment="1">
      <alignment horizontal="right"/>
    </xf>
    <xf numFmtId="176" fontId="12" fillId="35" borderId="10" xfId="44" applyNumberFormat="1" applyFont="1" applyFill="1" applyBorder="1" applyAlignment="1">
      <alignment/>
    </xf>
    <xf numFmtId="0" fontId="12" fillId="35" borderId="0" xfId="0" applyFont="1" applyFill="1" applyAlignment="1">
      <alignment horizontal="center"/>
    </xf>
    <xf numFmtId="0" fontId="13" fillId="35" borderId="15" xfId="0" applyFont="1" applyFill="1" applyBorder="1" applyAlignment="1">
      <alignment horizontal="right"/>
    </xf>
    <xf numFmtId="176" fontId="12" fillId="35" borderId="15" xfId="44" applyNumberFormat="1" applyFont="1" applyFill="1" applyBorder="1" applyAlignment="1">
      <alignment/>
    </xf>
    <xf numFmtId="0" fontId="12" fillId="35" borderId="19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right"/>
    </xf>
    <xf numFmtId="4" fontId="16" fillId="36" borderId="12" xfId="0" applyNumberFormat="1" applyFont="1" applyFill="1" applyBorder="1" applyAlignment="1">
      <alignment/>
    </xf>
    <xf numFmtId="0" fontId="16" fillId="36" borderId="19" xfId="0" applyFont="1" applyFill="1" applyBorder="1" applyAlignment="1">
      <alignment horizontal="center"/>
    </xf>
    <xf numFmtId="4" fontId="16" fillId="36" borderId="14" xfId="0" applyNumberFormat="1" applyFont="1" applyFill="1" applyBorder="1" applyAlignment="1">
      <alignment/>
    </xf>
    <xf numFmtId="0" fontId="16" fillId="36" borderId="20" xfId="0" applyFont="1" applyFill="1" applyBorder="1" applyAlignment="1">
      <alignment horizontal="center"/>
    </xf>
    <xf numFmtId="2" fontId="16" fillId="36" borderId="14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21" xfId="60" applyFont="1" applyFill="1" applyBorder="1" applyAlignment="1">
      <alignment vertical="center"/>
      <protection/>
    </xf>
    <xf numFmtId="0" fontId="10" fillId="37" borderId="22" xfId="0" applyFont="1" applyFill="1" applyBorder="1" applyAlignment="1">
      <alignment horizontal="centerContinuous" vertical="center"/>
    </xf>
    <xf numFmtId="0" fontId="0" fillId="37" borderId="23" xfId="0" applyFill="1" applyBorder="1" applyAlignment="1">
      <alignment horizontal="centerContinuous" vertical="center"/>
    </xf>
    <xf numFmtId="0" fontId="0" fillId="37" borderId="23" xfId="0" applyFill="1" applyBorder="1" applyAlignment="1">
      <alignment horizontal="centerContinuous"/>
    </xf>
    <xf numFmtId="0" fontId="0" fillId="0" borderId="24" xfId="60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25" xfId="60" applyFont="1" applyFill="1" applyBorder="1" applyAlignment="1">
      <alignment/>
      <protection/>
    </xf>
    <xf numFmtId="0" fontId="0" fillId="0" borderId="11" xfId="60" applyFont="1" applyFill="1" applyBorder="1" applyAlignment="1">
      <alignment/>
      <protection/>
    </xf>
    <xf numFmtId="0" fontId="0" fillId="0" borderId="26" xfId="60" applyFont="1" applyFill="1" applyBorder="1" applyAlignment="1">
      <alignment/>
      <protection/>
    </xf>
    <xf numFmtId="0" fontId="2" fillId="0" borderId="11" xfId="60" applyFont="1" applyFill="1" applyBorder="1" applyAlignment="1">
      <alignment vertical="center"/>
      <protection/>
    </xf>
    <xf numFmtId="0" fontId="2" fillId="0" borderId="11" xfId="60" applyFont="1" applyFill="1" applyBorder="1" applyAlignment="1">
      <alignment/>
      <protection/>
    </xf>
    <xf numFmtId="0" fontId="2" fillId="0" borderId="26" xfId="60" applyFont="1" applyFill="1" applyBorder="1" applyAlignment="1">
      <alignment/>
      <protection/>
    </xf>
    <xf numFmtId="0" fontId="0" fillId="0" borderId="12" xfId="60" applyFont="1" applyFill="1" applyBorder="1" applyAlignment="1">
      <alignment/>
      <protection/>
    </xf>
    <xf numFmtId="0" fontId="0" fillId="0" borderId="14" xfId="60" applyFont="1" applyFill="1" applyBorder="1" applyAlignment="1">
      <alignment/>
      <protection/>
    </xf>
    <xf numFmtId="0" fontId="0" fillId="0" borderId="21" xfId="60" applyFont="1" applyFill="1" applyBorder="1" applyAlignment="1">
      <alignment/>
      <protection/>
    </xf>
    <xf numFmtId="0" fontId="0" fillId="0" borderId="25" xfId="60" applyFont="1" applyFill="1" applyBorder="1" applyAlignment="1">
      <alignment/>
      <protection/>
    </xf>
    <xf numFmtId="0" fontId="14" fillId="38" borderId="27" xfId="0" applyFont="1" applyFill="1" applyBorder="1" applyAlignment="1" applyProtection="1">
      <alignment/>
      <protection hidden="1"/>
    </xf>
    <xf numFmtId="0" fontId="13" fillId="38" borderId="28" xfId="0" applyFont="1" applyFill="1" applyBorder="1" applyAlignment="1" applyProtection="1">
      <alignment/>
      <protection hidden="1"/>
    </xf>
    <xf numFmtId="0" fontId="2" fillId="39" borderId="29" xfId="0" applyFont="1" applyFill="1" applyBorder="1" applyAlignment="1" applyProtection="1">
      <alignment/>
      <protection hidden="1"/>
    </xf>
    <xf numFmtId="0" fontId="0" fillId="40" borderId="30" xfId="0" applyFill="1" applyBorder="1" applyAlignment="1" applyProtection="1">
      <alignment/>
      <protection hidden="1"/>
    </xf>
    <xf numFmtId="2" fontId="0" fillId="0" borderId="31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78" fontId="0" fillId="0" borderId="31" xfId="0" applyNumberFormat="1" applyFill="1" applyBorder="1" applyAlignment="1" applyProtection="1">
      <alignment/>
      <protection hidden="1"/>
    </xf>
    <xf numFmtId="0" fontId="2" fillId="39" borderId="31" xfId="0" applyFont="1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0" borderId="31" xfId="0" applyBorder="1" applyAlignment="1">
      <alignment/>
    </xf>
    <xf numFmtId="0" fontId="0" fillId="40" borderId="32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right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right"/>
      <protection hidden="1"/>
    </xf>
    <xf numFmtId="173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0" fillId="40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 vertical="center"/>
      <protection hidden="1"/>
    </xf>
    <xf numFmtId="3" fontId="0" fillId="40" borderId="10" xfId="0" applyNumberFormat="1" applyFont="1" applyFill="1" applyBorder="1" applyAlignment="1" applyProtection="1">
      <alignment/>
      <protection hidden="1"/>
    </xf>
    <xf numFmtId="4" fontId="0" fillId="40" borderId="10" xfId="0" applyNumberFormat="1" applyFill="1" applyBorder="1" applyAlignment="1" applyProtection="1">
      <alignment/>
      <protection hidden="1"/>
    </xf>
    <xf numFmtId="0" fontId="2" fillId="39" borderId="33" xfId="0" applyFont="1" applyFill="1" applyBorder="1" applyAlignment="1" applyProtection="1">
      <alignment/>
      <protection hidden="1"/>
    </xf>
    <xf numFmtId="0" fontId="0" fillId="40" borderId="19" xfId="0" applyFill="1" applyBorder="1" applyAlignment="1" applyProtection="1">
      <alignment/>
      <protection hidden="1"/>
    </xf>
    <xf numFmtId="3" fontId="0" fillId="40" borderId="15" xfId="0" applyNumberFormat="1" applyFill="1" applyBorder="1" applyAlignment="1" applyProtection="1">
      <alignment/>
      <protection hidden="1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12" fillId="0" borderId="10" xfId="0" applyFont="1" applyBorder="1" applyAlignment="1">
      <alignment wrapText="1"/>
    </xf>
    <xf numFmtId="0" fontId="12" fillId="33" borderId="31" xfId="0" applyFont="1" applyFill="1" applyBorder="1" applyAlignment="1">
      <alignment/>
    </xf>
    <xf numFmtId="0" fontId="12" fillId="0" borderId="0" xfId="0" applyFont="1" applyAlignment="1">
      <alignment/>
    </xf>
    <xf numFmtId="0" fontId="2" fillId="39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2" fillId="0" borderId="31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25" xfId="0" applyFill="1" applyBorder="1" applyAlignment="1">
      <alignment horizontal="centerContinuous"/>
    </xf>
    <xf numFmtId="0" fontId="64" fillId="0" borderId="10" xfId="0" applyFont="1" applyFill="1" applyBorder="1" applyAlignment="1">
      <alignment wrapText="1"/>
    </xf>
    <xf numFmtId="4" fontId="64" fillId="0" borderId="11" xfId="0" applyNumberFormat="1" applyFont="1" applyBorder="1" applyAlignment="1">
      <alignment/>
    </xf>
    <xf numFmtId="0" fontId="65" fillId="41" borderId="18" xfId="0" applyFont="1" applyFill="1" applyBorder="1" applyAlignment="1">
      <alignment horizontal="center" vertical="center"/>
    </xf>
    <xf numFmtId="0" fontId="20" fillId="42" borderId="34" xfId="0" applyFont="1" applyFill="1" applyBorder="1" applyAlignment="1">
      <alignment horizontal="centerContinuous" vertical="center"/>
    </xf>
    <xf numFmtId="0" fontId="17" fillId="42" borderId="13" xfId="0" applyFont="1" applyFill="1" applyBorder="1" applyAlignment="1">
      <alignment horizontal="centerContinuous"/>
    </xf>
    <xf numFmtId="0" fontId="17" fillId="42" borderId="14" xfId="0" applyFont="1" applyFill="1" applyBorder="1" applyAlignment="1">
      <alignment horizontal="centerContinuous"/>
    </xf>
    <xf numFmtId="0" fontId="21" fillId="42" borderId="17" xfId="0" applyFont="1" applyFill="1" applyBorder="1" applyAlignment="1">
      <alignment/>
    </xf>
    <xf numFmtId="0" fontId="21" fillId="42" borderId="35" xfId="0" applyFont="1" applyFill="1" applyBorder="1" applyAlignment="1">
      <alignment horizontal="center"/>
    </xf>
    <xf numFmtId="0" fontId="21" fillId="42" borderId="17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 hidden="1"/>
    </xf>
    <xf numFmtId="0" fontId="20" fillId="42" borderId="34" xfId="60" applyFont="1" applyFill="1" applyBorder="1" applyAlignment="1" applyProtection="1">
      <alignment horizontal="centerContinuous"/>
      <protection hidden="1"/>
    </xf>
    <xf numFmtId="0" fontId="13" fillId="42" borderId="20" xfId="60" applyFont="1" applyFill="1" applyBorder="1" applyAlignment="1" applyProtection="1">
      <alignment horizontal="centerContinuous"/>
      <protection hidden="1"/>
    </xf>
    <xf numFmtId="0" fontId="13" fillId="42" borderId="13" xfId="60" applyFont="1" applyFill="1" applyBorder="1" applyAlignment="1" applyProtection="1">
      <alignment horizontal="centerContinuous"/>
      <protection hidden="1"/>
    </xf>
    <xf numFmtId="0" fontId="21" fillId="42" borderId="21" xfId="60" applyFont="1" applyFill="1" applyBorder="1" applyAlignment="1" applyProtection="1">
      <alignment/>
      <protection hidden="1"/>
    </xf>
    <xf numFmtId="0" fontId="21" fillId="42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73" fontId="0" fillId="0" borderId="10" xfId="6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2" fillId="43" borderId="10" xfId="0" applyFont="1" applyFill="1" applyBorder="1" applyAlignment="1">
      <alignment/>
    </xf>
    <xf numFmtId="172" fontId="12" fillId="43" borderId="11" xfId="0" applyNumberFormat="1" applyFont="1" applyFill="1" applyBorder="1" applyAlignment="1">
      <alignment/>
    </xf>
    <xf numFmtId="0" fontId="12" fillId="43" borderId="0" xfId="0" applyFont="1" applyFill="1" applyAlignment="1">
      <alignment horizontal="center"/>
    </xf>
    <xf numFmtId="0" fontId="0" fillId="0" borderId="14" xfId="60" applyFont="1" applyFill="1" applyBorder="1" applyAlignment="1">
      <alignment vertical="center"/>
      <protection/>
    </xf>
    <xf numFmtId="10" fontId="0" fillId="40" borderId="14" xfId="0" applyNumberFormat="1" applyFill="1" applyBorder="1" applyAlignment="1">
      <alignment horizontal="center"/>
    </xf>
    <xf numFmtId="0" fontId="12" fillId="43" borderId="11" xfId="0" applyNumberFormat="1" applyFont="1" applyFill="1" applyBorder="1" applyAlignment="1">
      <alignment/>
    </xf>
    <xf numFmtId="181" fontId="0" fillId="40" borderId="15" xfId="0" applyNumberFormat="1" applyFill="1" applyBorder="1" applyAlignment="1" applyProtection="1">
      <alignment/>
      <protection hidden="1"/>
    </xf>
    <xf numFmtId="3" fontId="0" fillId="40" borderId="12" xfId="60" applyNumberFormat="1" applyFont="1" applyFill="1" applyBorder="1" applyAlignment="1" applyProtection="1">
      <alignment horizontal="right" indent="1"/>
      <protection hidden="1"/>
    </xf>
    <xf numFmtId="3" fontId="0" fillId="40" borderId="14" xfId="60" applyNumberFormat="1" applyFont="1" applyFill="1" applyBorder="1" applyAlignment="1" applyProtection="1">
      <alignment horizontal="right" indent="1"/>
      <protection hidden="1"/>
    </xf>
    <xf numFmtId="173" fontId="0" fillId="40" borderId="14" xfId="60" applyNumberFormat="1" applyFont="1" applyFill="1" applyBorder="1" applyAlignment="1">
      <alignment horizontal="right" vertical="center" indent="1"/>
      <protection/>
    </xf>
    <xf numFmtId="4" fontId="0" fillId="40" borderId="24" xfId="60" applyNumberFormat="1" applyFont="1" applyFill="1" applyBorder="1" applyAlignment="1">
      <alignment horizontal="right" vertical="center" indent="1"/>
      <protection/>
    </xf>
    <xf numFmtId="3" fontId="0" fillId="40" borderId="14" xfId="60" applyNumberFormat="1" applyFont="1" applyFill="1" applyBorder="1" applyAlignment="1" applyProtection="1">
      <alignment horizontal="right" vertical="center" indent="1"/>
      <protection hidden="1"/>
    </xf>
    <xf numFmtId="4" fontId="0" fillId="40" borderId="21" xfId="60" applyNumberFormat="1" applyFont="1" applyFill="1" applyBorder="1" applyAlignment="1" applyProtection="1">
      <alignment horizontal="right" vertical="center" indent="1"/>
      <protection hidden="1"/>
    </xf>
    <xf numFmtId="3" fontId="0" fillId="40" borderId="14" xfId="60" applyNumberFormat="1" applyFont="1" applyFill="1" applyBorder="1" applyAlignment="1">
      <alignment horizontal="right" vertical="center" indent="1"/>
      <protection/>
    </xf>
    <xf numFmtId="3" fontId="0" fillId="40" borderId="24" xfId="60" applyNumberFormat="1" applyFont="1" applyFill="1" applyBorder="1" applyAlignment="1">
      <alignment horizontal="right" vertical="center" indent="1"/>
      <protection/>
    </xf>
    <xf numFmtId="3" fontId="0" fillId="40" borderId="21" xfId="60" applyNumberFormat="1" applyFont="1" applyFill="1" applyBorder="1" applyAlignment="1">
      <alignment horizontal="right" vertical="center" indent="1"/>
      <protection/>
    </xf>
    <xf numFmtId="3" fontId="0" fillId="40" borderId="12" xfId="60" applyNumberFormat="1" applyFont="1" applyFill="1" applyBorder="1" applyAlignment="1">
      <alignment horizontal="right" vertical="center" indent="1"/>
      <protection/>
    </xf>
    <xf numFmtId="4" fontId="0" fillId="40" borderId="12" xfId="60" applyNumberFormat="1" applyFont="1" applyFill="1" applyBorder="1" applyAlignment="1" applyProtection="1">
      <alignment horizontal="right" vertical="center" indent="1"/>
      <protection hidden="1"/>
    </xf>
    <xf numFmtId="4" fontId="0" fillId="40" borderId="26" xfId="60" applyNumberFormat="1" applyFont="1" applyFill="1" applyBorder="1" applyAlignment="1" applyProtection="1">
      <alignment horizontal="right" vertical="center" indent="1"/>
      <protection hidden="1"/>
    </xf>
    <xf numFmtId="4" fontId="0" fillId="40" borderId="14" xfId="60" applyNumberFormat="1" applyFont="1" applyFill="1" applyBorder="1" applyAlignment="1" applyProtection="1">
      <alignment horizontal="right" vertical="center" indent="1"/>
      <protection hidden="1"/>
    </xf>
    <xf numFmtId="177" fontId="0" fillId="40" borderId="13" xfId="60" applyNumberFormat="1" applyFont="1" applyFill="1" applyBorder="1" applyAlignment="1">
      <alignment horizontal="right" vertical="center" indent="1"/>
      <protection/>
    </xf>
    <xf numFmtId="177" fontId="0" fillId="44" borderId="13" xfId="60" applyNumberFormat="1" applyFont="1" applyFill="1" applyBorder="1" applyAlignment="1">
      <alignment horizontal="right" vertical="center" indent="1"/>
      <protection/>
    </xf>
    <xf numFmtId="10" fontId="0" fillId="40" borderId="14" xfId="60" applyNumberFormat="1" applyFont="1" applyFill="1" applyBorder="1" applyAlignment="1">
      <alignment horizontal="right" vertical="center" indent="1"/>
      <protection/>
    </xf>
    <xf numFmtId="10" fontId="0" fillId="40" borderId="12" xfId="60" applyNumberFormat="1" applyFont="1" applyFill="1" applyBorder="1" applyAlignment="1">
      <alignment horizontal="right" vertical="center" indent="1"/>
      <protection/>
    </xf>
    <xf numFmtId="177" fontId="0" fillId="44" borderId="14" xfId="0" applyNumberFormat="1" applyFill="1" applyBorder="1" applyAlignment="1">
      <alignment/>
    </xf>
    <xf numFmtId="0" fontId="0" fillId="44" borderId="14" xfId="0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45" borderId="0" xfId="52" applyFill="1" applyAlignment="1" applyProtection="1">
      <alignment/>
      <protection/>
    </xf>
    <xf numFmtId="0" fontId="7" fillId="4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45" borderId="0" xfId="52" applyFill="1" applyAlignment="1" applyProtection="1">
      <alignment horizontal="left"/>
      <protection/>
    </xf>
    <xf numFmtId="0" fontId="7" fillId="45" borderId="0" xfId="0" applyFont="1" applyFill="1" applyBorder="1" applyAlignment="1">
      <alignment horizontal="right"/>
    </xf>
    <xf numFmtId="0" fontId="0" fillId="43" borderId="11" xfId="0" applyFont="1" applyFill="1" applyBorder="1" applyAlignment="1">
      <alignment horizontal="center" vertical="top" wrapText="1"/>
    </xf>
    <xf numFmtId="0" fontId="0" fillId="43" borderId="11" xfId="0" applyFill="1" applyBorder="1" applyAlignment="1">
      <alignment horizontal="center" vertical="top" wrapText="1"/>
    </xf>
    <xf numFmtId="0" fontId="0" fillId="43" borderId="11" xfId="0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rd 2 2" xfId="59"/>
    <cellStyle name="Standard 2 2 2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A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D5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hnsteuer-2019-excel-zellfunk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Berechnung"/>
    </sheetNames>
    <sheetDataSet>
      <sheetData sheetId="0">
        <row r="7">
          <cell r="B7">
            <v>0</v>
          </cell>
        </row>
        <row r="10">
          <cell r="B10">
            <v>0.9</v>
          </cell>
        </row>
        <row r="12">
          <cell r="B12">
            <v>0</v>
          </cell>
        </row>
        <row r="14">
          <cell r="B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mailto:steuer@parmentier.de" TargetMode="External" /><Relationship Id="rId3" Type="http://schemas.openxmlformats.org/officeDocument/2006/relationships/hyperlink" Target="http://www.parmentier.de/steuer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44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46.28125" style="0" bestFit="1" customWidth="1"/>
    <col min="2" max="2" width="12.140625" style="0" bestFit="1" customWidth="1"/>
    <col min="3" max="3" width="3.28125" style="0" bestFit="1" customWidth="1"/>
    <col min="4" max="4" width="15.28125" style="0" customWidth="1"/>
    <col min="5" max="5" width="30.00390625" style="0" customWidth="1"/>
    <col min="6" max="6" width="2.7109375" style="0" customWidth="1"/>
    <col min="7" max="7" width="11.00390625" style="2" bestFit="1" customWidth="1"/>
    <col min="8" max="8" width="12.421875" style="1" bestFit="1" customWidth="1"/>
    <col min="9" max="9" width="9.140625" style="1" bestFit="1" customWidth="1"/>
    <col min="10" max="10" width="10.421875" style="0" customWidth="1"/>
    <col min="11" max="11" width="16.421875" style="0" bestFit="1" customWidth="1"/>
    <col min="12" max="12" width="10.8515625" style="0" bestFit="1" customWidth="1"/>
    <col min="13" max="13" width="11.7109375" style="0" bestFit="1" customWidth="1"/>
    <col min="14" max="14" width="16.28125" style="0" bestFit="1" customWidth="1"/>
  </cols>
  <sheetData>
    <row r="1" spans="1:5" ht="18.75" customHeight="1" thickBot="1">
      <c r="A1" s="48" t="str">
        <f>"Lohnsteuerberechnung "&amp;BearbJahr&amp;" mit Zellfunktionen"</f>
        <v>Lohnsteuerberechnung 2019 mit Zellfunktionen</v>
      </c>
      <c r="B1" s="49"/>
      <c r="C1" s="50"/>
      <c r="D1" s="50"/>
      <c r="E1" s="50"/>
    </row>
    <row r="2" spans="1:6" ht="18.75" customHeight="1" thickTop="1">
      <c r="A2" s="109" t="s">
        <v>110</v>
      </c>
      <c r="B2" s="110">
        <v>2000</v>
      </c>
      <c r="C2" s="17" t="s">
        <v>42</v>
      </c>
      <c r="D2" s="108"/>
      <c r="E2" s="108"/>
      <c r="F2" s="73"/>
    </row>
    <row r="3" spans="1:6" ht="15.75">
      <c r="A3" s="15" t="s">
        <v>41</v>
      </c>
      <c r="B3" s="16">
        <v>3500</v>
      </c>
      <c r="C3" s="17" t="s">
        <v>42</v>
      </c>
      <c r="D3" s="7"/>
      <c r="E3" s="154" t="s">
        <v>89</v>
      </c>
      <c r="F3" s="5"/>
    </row>
    <row r="4" spans="1:5" ht="15.75">
      <c r="A4" s="18" t="s">
        <v>99</v>
      </c>
      <c r="B4" s="19">
        <v>2</v>
      </c>
      <c r="C4" s="20"/>
      <c r="D4" s="7"/>
      <c r="E4" s="155"/>
    </row>
    <row r="5" spans="1:5" ht="15.75">
      <c r="A5" s="18" t="s">
        <v>43</v>
      </c>
      <c r="B5" s="19">
        <v>1</v>
      </c>
      <c r="C5" s="21"/>
      <c r="D5" s="7"/>
      <c r="E5" s="155"/>
    </row>
    <row r="6" spans="1:5" ht="15.75">
      <c r="A6" s="22" t="s">
        <v>73</v>
      </c>
      <c r="B6" s="23">
        <v>0</v>
      </c>
      <c r="C6" s="21"/>
      <c r="D6" s="7"/>
      <c r="E6" s="156"/>
    </row>
    <row r="7" spans="1:5" ht="15.75">
      <c r="A7" s="18" t="s">
        <v>100</v>
      </c>
      <c r="B7" s="19">
        <v>0</v>
      </c>
      <c r="C7" s="21"/>
      <c r="D7" s="7"/>
      <c r="E7" s="156"/>
    </row>
    <row r="8" spans="1:5" ht="15.75">
      <c r="A8" s="18" t="s">
        <v>74</v>
      </c>
      <c r="B8" s="19">
        <v>0</v>
      </c>
      <c r="C8" s="20"/>
      <c r="D8" s="7"/>
      <c r="E8" s="156"/>
    </row>
    <row r="9" spans="1:5" ht="15.75">
      <c r="A9" s="18" t="s">
        <v>44</v>
      </c>
      <c r="B9" s="19">
        <v>0</v>
      </c>
      <c r="C9" s="20" t="s">
        <v>45</v>
      </c>
      <c r="D9" s="7"/>
      <c r="E9" s="93"/>
    </row>
    <row r="10" spans="1:5" ht="15.75">
      <c r="A10" s="127" t="s">
        <v>88</v>
      </c>
      <c r="B10" s="128">
        <v>14.6</v>
      </c>
      <c r="C10" s="129" t="s">
        <v>45</v>
      </c>
      <c r="D10" s="7"/>
      <c r="E10" s="162" t="s">
        <v>112</v>
      </c>
    </row>
    <row r="11" spans="1:5" ht="15.75">
      <c r="A11" s="127" t="s">
        <v>75</v>
      </c>
      <c r="B11" s="128">
        <v>0.9</v>
      </c>
      <c r="C11" s="129" t="s">
        <v>45</v>
      </c>
      <c r="D11" s="8"/>
      <c r="E11" s="163"/>
    </row>
    <row r="12" spans="1:5" ht="15.75">
      <c r="A12" s="127" t="s">
        <v>111</v>
      </c>
      <c r="B12" s="132">
        <v>1</v>
      </c>
      <c r="C12" s="129"/>
      <c r="D12" s="8"/>
      <c r="E12" s="163"/>
    </row>
    <row r="13" spans="1:5" ht="15.75">
      <c r="A13" s="18" t="s">
        <v>76</v>
      </c>
      <c r="B13" s="19">
        <v>0</v>
      </c>
      <c r="C13" s="20"/>
      <c r="D13" s="8"/>
      <c r="E13" s="163"/>
    </row>
    <row r="14" spans="1:5" ht="15.75">
      <c r="A14" s="18" t="s">
        <v>77</v>
      </c>
      <c r="B14" s="19">
        <v>0</v>
      </c>
      <c r="C14" s="20"/>
      <c r="D14" s="7"/>
      <c r="E14" s="164"/>
    </row>
    <row r="15" spans="1:5" ht="15.75">
      <c r="A15" s="18" t="s">
        <v>78</v>
      </c>
      <c r="B15" s="19">
        <v>0</v>
      </c>
      <c r="C15" s="20"/>
      <c r="D15" s="7"/>
      <c r="E15" s="164"/>
    </row>
    <row r="16" spans="1:5" s="99" customFormat="1" ht="16.5">
      <c r="A16" s="97" t="s">
        <v>101</v>
      </c>
      <c r="B16" s="19">
        <v>0</v>
      </c>
      <c r="C16" s="20"/>
      <c r="D16" s="98"/>
      <c r="E16" s="164"/>
    </row>
    <row r="17" spans="1:5" ht="15.75">
      <c r="A17" s="24" t="s">
        <v>49</v>
      </c>
      <c r="B17" s="25">
        <v>0</v>
      </c>
      <c r="C17" s="26" t="s">
        <v>42</v>
      </c>
      <c r="D17" s="6"/>
      <c r="E17" s="164"/>
    </row>
    <row r="18" spans="1:5" ht="16.5" thickBot="1">
      <c r="A18" s="27" t="s">
        <v>46</v>
      </c>
      <c r="B18" s="28">
        <v>0</v>
      </c>
      <c r="C18" s="29" t="s">
        <v>42</v>
      </c>
      <c r="D18" s="6"/>
      <c r="E18" s="164"/>
    </row>
    <row r="19" spans="1:5" ht="15.75">
      <c r="A19" s="30" t="s">
        <v>29</v>
      </c>
      <c r="B19" s="31">
        <f>Berechnung!C54/100</f>
        <v>551.16</v>
      </c>
      <c r="C19" s="32" t="s">
        <v>42</v>
      </c>
      <c r="D19" s="9"/>
      <c r="E19" s="94"/>
    </row>
    <row r="20" spans="1:5" ht="15.75">
      <c r="A20" s="30" t="s">
        <v>30</v>
      </c>
      <c r="B20" s="31">
        <f>Berechnung!C66/100</f>
        <v>30.31</v>
      </c>
      <c r="C20" s="32" t="s">
        <v>42</v>
      </c>
      <c r="D20" s="8"/>
      <c r="E20" s="154" t="s">
        <v>90</v>
      </c>
    </row>
    <row r="21" spans="1:5" ht="15.75">
      <c r="A21" s="33" t="s">
        <v>31</v>
      </c>
      <c r="B21" s="34">
        <f>ROUNDDOWN(Berechnung!C68*B9/10000,2)</f>
        <v>0</v>
      </c>
      <c r="C21" s="35" t="s">
        <v>42</v>
      </c>
      <c r="D21" s="8"/>
      <c r="E21" s="155"/>
    </row>
    <row r="22" spans="1:6" ht="15.75">
      <c r="A22" s="36" t="s">
        <v>118</v>
      </c>
      <c r="B22" s="37">
        <f>IF(B7=0,ROUND(IF(B4=1,IF(B3&gt;Berechnung!C9,Berechnung!C9,B3),IF(B4=2,IF(B3&gt;(Berechnung!C9/12),(Berechnung!C9/12),B3),IF(B4=3,IF(B3&gt;(Berechnung!C9/360*7),(Berechnung!C9/360*7),B3),IF(B3&gt;(Berechnung!C9/360),(Berechnung!C9/360),B3))))*0.093,2),0)</f>
        <v>325.5</v>
      </c>
      <c r="C22" s="38" t="s">
        <v>42</v>
      </c>
      <c r="D22" s="8"/>
      <c r="E22" s="155"/>
      <c r="F22" s="3"/>
    </row>
    <row r="23" spans="1:5" ht="15.75">
      <c r="A23" s="36" t="str">
        <f>IF(B10=0,"Privat Krankenversichert ohne Nachweis",IF(B10&gt;20,"Basisprämie KV, AG-Anteil abgezogen",(B10+B11)/2&amp;" % Krankenversicherungsbeitrag"))</f>
        <v>7,75 % Krankenversicherungsbeitrag</v>
      </c>
      <c r="B23" s="39">
        <f>IF(B10&gt;20,IF(B12=0,B10*Berechnung!$C$69,MAX(B10/2*Berechnung!$C$69,(B10-(Berechnung!G11*Berechnung!F17/12))*Berechnung!$C$69)),IF(B10=0,0,ROUND(IF(B4=1,IF(B3&gt;Berechnung!F17,Berechnung!F17,B3),IF(B4=2,IF(B3&gt;(Berechnung!F17/12),(Berechnung!F17/12),B3),IF(B4=3,IF(B3&gt;(Berechnung!F17/360*7),(Berechnung!F17/360*7),B3),IF(B3&gt;(Berechnung!F17/360),(Berechnung!F17/360),B3))))*((B10+B11)/2*0.01),2)))</f>
        <v>271.25</v>
      </c>
      <c r="C23" s="40" t="s">
        <v>42</v>
      </c>
      <c r="D23" s="8"/>
      <c r="E23" s="155"/>
    </row>
    <row r="24" spans="1:5" ht="15.75">
      <c r="A24" s="36" t="str">
        <f>IF(B15=1,2.025,1.525)+IF(B13=1,0.25,0)&amp;"% Pflegeversicherung"</f>
        <v>1,525% Pflegeversicherung</v>
      </c>
      <c r="B24" s="41">
        <f>IF(B10&gt;20,0,IF(B10=0,0,ROUND(IF(B4=1,IF(B3&gt;Berechnung!F17,Berechnung!F17,B3),IF(B4=2,IF(B3&gt;(Berechnung!F17/12),(Berechnung!F17/12),B3),IF(B4=3,IF(B3&gt;(Berechnung!F17/360*7),(Berechnung!F17/360*7),B3),IF(B3&gt;(Berechnung!F17/360),(Berechnung!F17/360),B3)))),2)))*Berechnung!C11</f>
        <v>53.38</v>
      </c>
      <c r="C24" s="40" t="s">
        <v>42</v>
      </c>
      <c r="D24" s="8"/>
      <c r="E24" s="4"/>
    </row>
    <row r="25" spans="1:5" ht="15.75">
      <c r="A25" s="36" t="s">
        <v>120</v>
      </c>
      <c r="B25" s="41">
        <f>IF(B7=0,ROUND(IF(B4=1,IF(B3&gt;Berechnung!C9,Berechnung!C9,B3),IF(B4=2,IF(B3&gt;(Berechnung!C9/12),(Berechnung!C9/12),B3),IF(B4=3,IF(B3&gt;(Berechnung!C9/360*7),(Berechnung!C9/360*7),B3),IF(B3&gt;(Berechnung!C9/360),(Berechnung!C9/360),B3))))*Berechnung!G6,2),0)</f>
        <v>43.75</v>
      </c>
      <c r="C25" s="40" t="s">
        <v>42</v>
      </c>
      <c r="D25" s="8"/>
      <c r="E25" s="4"/>
    </row>
    <row r="26" spans="1:5" ht="15.75">
      <c r="A26" s="14" t="s">
        <v>47</v>
      </c>
      <c r="B26" s="42">
        <f>SUM(B19:B25)</f>
        <v>1275.35</v>
      </c>
      <c r="C26" s="43" t="s">
        <v>42</v>
      </c>
      <c r="D26" s="8"/>
      <c r="E26" s="52"/>
    </row>
    <row r="27" spans="1:5" ht="18">
      <c r="A27" s="11" t="s">
        <v>48</v>
      </c>
      <c r="B27" s="12">
        <f>SUM(B3,-B26)</f>
        <v>2224.65</v>
      </c>
      <c r="C27" s="13" t="s">
        <v>42</v>
      </c>
      <c r="D27" s="10"/>
      <c r="E27" s="95" t="s">
        <v>124</v>
      </c>
    </row>
    <row r="28" spans="1:5" ht="12.75">
      <c r="A28" s="161" t="s">
        <v>54</v>
      </c>
      <c r="B28" s="161"/>
      <c r="C28" s="157" t="s">
        <v>117</v>
      </c>
      <c r="D28" s="157"/>
      <c r="E28" s="157"/>
    </row>
    <row r="29" spans="1:5" ht="12.75">
      <c r="A29" s="158" t="s">
        <v>62</v>
      </c>
      <c r="B29" s="159"/>
      <c r="C29" s="160" t="s">
        <v>63</v>
      </c>
      <c r="D29" s="160"/>
      <c r="E29" s="160"/>
    </row>
    <row r="38" ht="12.75">
      <c r="O38" s="44"/>
    </row>
    <row r="39" ht="12.75">
      <c r="O39" s="44"/>
    </row>
    <row r="40" ht="12.75">
      <c r="O40" s="44"/>
    </row>
    <row r="41" ht="12.75">
      <c r="O41" s="44"/>
    </row>
    <row r="42" ht="12.75">
      <c r="O42" s="44"/>
    </row>
    <row r="43" ht="12.75">
      <c r="O43" s="44"/>
    </row>
    <row r="44" ht="12.75">
      <c r="O44" s="44"/>
    </row>
  </sheetData>
  <sheetProtection/>
  <mergeCells count="7">
    <mergeCell ref="E3:E8"/>
    <mergeCell ref="C28:E28"/>
    <mergeCell ref="A29:B29"/>
    <mergeCell ref="C29:E29"/>
    <mergeCell ref="A28:B28"/>
    <mergeCell ref="E20:E23"/>
    <mergeCell ref="E10:E18"/>
  </mergeCells>
  <conditionalFormatting sqref="B16">
    <cfRule type="cellIs" priority="1" dxfId="0" operator="between" stopIfTrue="1">
      <formula>0</formula>
      <formula>5</formula>
    </cfRule>
  </conditionalFormatting>
  <dataValidations count="13">
    <dataValidation type="list" allowBlank="1" showInputMessage="1" showErrorMessage="1" sqref="B5">
      <formula1>"1,2,3,4,5,6"</formula1>
    </dataValidation>
    <dataValidation type="list" operator="notBetween" allowBlank="1" showInputMessage="1" showErrorMessage="1" promptTitle="Kirchensteuer" prompt="Die Kirchensteuer beträgt in Bayern und Baden-Württemberg 8%, sonst 9%" sqref="B9">
      <formula1>"0,8,9"</formula1>
    </dataValidation>
    <dataValidation type="list" allowBlank="1" showInputMessage="1" showErrorMessage="1" sqref="B8">
      <formula1>"0,0,5,1,1,5,2,2,5,3,3,5,4,4,5,5,5,5,6"</formula1>
    </dataValidation>
    <dataValidation type="decimal" allowBlank="1" showInputMessage="1" showErrorMessage="1" sqref="B6">
      <formula1>0</formula1>
      <formula2>1</formula2>
    </dataValidation>
    <dataValidation allowBlank="1" showInputMessage="1" showErrorMessage="1" promptTitle="Krankenkassenbeitragssatz" prompt="Krankenkassenbeitragssatz ohne Zusatzbeitrag eingeben bzw. bei privater Krankenversicherung nur den Eigenanteil (KV+ PV, AG-Zuschuss abgezogen!) Freiwillig Versicherte: Bei Arbeitgeberzuschuss wie GKV ohne wie PKV" sqref="B10"/>
    <dataValidation type="list" allowBlank="1" showInputMessage="1" showErrorMessage="1" promptTitle="Sonderabgabe Pflegeversicherung" prompt="Über 23jährige, die kein Elterteil sind, zahlen 0,25% mehr in die Pflegeversicherung" sqref="B13">
      <formula1>"0,1"</formula1>
    </dataValidation>
    <dataValidation type="list" allowBlank="1" showInputMessage="1" showErrorMessage="1" promptTitle="Bemessungsgrenze Sozialversicher" prompt="Die Bemessungsgrenzen der Rentenversicherung ist 2015 in Ost 62.400 €, in West 72.600 €." sqref="B14">
      <formula1>"0,1"</formula1>
    </dataValidation>
    <dataValidation type="list" allowBlank="1" showInputMessage="1" showErrorMessage="1" promptTitle="Pflegeversicherung in Sachsen" prompt="Sachsen bezahlen auch 2015 0,5% mehr für die Pflegeversicherung (1.675%). Dafür haben sie den Buß- und Bettag als Feiertag behalten." sqref="B15">
      <formula1>"0,1"</formula1>
    </dataValidation>
    <dataValidation allowBlank="1" showInputMessage="1" showErrorMessage="1" promptTitle="Krankenkassenzusatzbeitragssatz" prompt="Der Krankenkassenzusatzbeitragssatz, den der Arbeitnehmer alleine zu tragen hat (bisher 0,9%) wird seit 2014 von jeder Krankenkasse selbst festgelegt (zur Verbesserung des  Wettbewerbs)." sqref="B11"/>
    <dataValidation type="list" allowBlank="1" showInputMessage="1" showErrorMessage="1" sqref="B4">
      <formula1>"1,2,3,4"</formula1>
    </dataValidation>
    <dataValidation type="list" allowBlank="1" showInputMessage="1" showErrorMessage="1" promptTitle="Lohnsteuertabelle" prompt="Rentenversicherungspflichtige werden nach der allgemeinen und nicht  rentenversicherungspflichtige (z.B. Beamte, Geschäftsführer-Gesellschafter) nach der besonderen Tabelle besteuert (geringere Vorsorgepauschale)" sqref="B7">
      <formula1>"0,1"</formula1>
    </dataValidation>
    <dataValidation type="list" allowBlank="1" showInputMessage="1" showErrorMessage="1" promptTitle="Altersentlastungsbetrag" prompt="Eingabe: vor 1941 geborene=1, 1941=2, 1942=3, 1943=4, 1944=5, 1945=6, 1946=7, 1947=8, 1948=9, 1949=10, 1950=11, 1951=12, 1952=13, 1953=14, nach 1953=0" sqref="B16">
      <formula1>"0,1,2,3,4,5,6,7,8,9,10,11,12,13,14"</formula1>
    </dataValidation>
    <dataValidation type="list" allowBlank="1" showInputMessage="1" showErrorMessage="1" sqref="B12">
      <formula1>"0,1"</formula1>
    </dataValidation>
  </dataValidations>
  <hyperlinks>
    <hyperlink ref="C29:E29" r:id="rId1" display="parmentier.ffm@t-online.de"/>
    <hyperlink ref="C29" r:id="rId2" display="steuer@parmentier.de"/>
    <hyperlink ref="C28" r:id="rId3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69"/>
  <sheetViews>
    <sheetView zoomScale="150" zoomScaleNormal="150" zoomScalePageLayoutView="0" workbookViewId="0" topLeftCell="A25">
      <selection activeCell="C41" sqref="C41"/>
    </sheetView>
  </sheetViews>
  <sheetFormatPr defaultColWidth="11.421875" defaultRowHeight="12.75"/>
  <cols>
    <col min="5" max="5" width="16.8515625" style="0" bestFit="1" customWidth="1"/>
  </cols>
  <sheetData>
    <row r="1" spans="1:7" ht="27" thickBot="1">
      <c r="A1" s="64" t="s">
        <v>98</v>
      </c>
      <c r="B1" s="111">
        <v>2019</v>
      </c>
      <c r="C1" s="65"/>
      <c r="E1" s="112" t="str">
        <f>"SOZ-VS-BEITRAGSSÄTZE  "&amp;BearbJahr</f>
        <v>SOZ-VS-BEITRAGSSÄTZE  2019</v>
      </c>
      <c r="F1" s="113"/>
      <c r="G1" s="114"/>
    </row>
    <row r="2" spans="1:7" ht="15.75" thickBot="1">
      <c r="A2" s="66" t="s">
        <v>72</v>
      </c>
      <c r="B2" s="67" t="s">
        <v>3</v>
      </c>
      <c r="C2" s="74">
        <f>IF(Eingabe!B5&gt;4,0,Eingabe!B8)</f>
        <v>0</v>
      </c>
      <c r="E2" s="115" t="s">
        <v>85</v>
      </c>
      <c r="F2" s="116" t="s">
        <v>96</v>
      </c>
      <c r="G2" s="117" t="s">
        <v>91</v>
      </c>
    </row>
    <row r="3" spans="1:7" ht="12.75">
      <c r="A3" s="68"/>
      <c r="B3" s="69" t="s">
        <v>1</v>
      </c>
      <c r="C3" s="86">
        <f>Eingabe!B4</f>
        <v>2</v>
      </c>
      <c r="E3" s="45" t="s">
        <v>79</v>
      </c>
      <c r="F3" s="147">
        <v>0.146</v>
      </c>
      <c r="G3" s="148">
        <f>F3/2+F4</f>
        <v>0.082</v>
      </c>
    </row>
    <row r="4" spans="1:7" ht="12.75">
      <c r="A4" s="68"/>
      <c r="B4" s="69" t="s">
        <v>0</v>
      </c>
      <c r="C4" s="75">
        <f>Eingabe!B7</f>
        <v>0</v>
      </c>
      <c r="E4" s="46" t="s">
        <v>80</v>
      </c>
      <c r="F4" s="149">
        <f>'[1]Eingabe'!B10/100</f>
        <v>0.009</v>
      </c>
      <c r="G4" s="148">
        <f>F4/2+0.07</f>
        <v>0.0745</v>
      </c>
    </row>
    <row r="5" spans="1:7" ht="12.75">
      <c r="A5" s="68"/>
      <c r="B5" s="69" t="s">
        <v>55</v>
      </c>
      <c r="C5" s="76">
        <f>ROUNDDOWN(IF(C3=1,Eingabe!B3*100,IF(C3=2,(Eingabe!B3*100)*12,IF(C3=3,((Eingabe!B3*100)*360)/7,(Eingabe!B3*100)*360))),2)</f>
        <v>4200000</v>
      </c>
      <c r="E5" s="45" t="s">
        <v>81</v>
      </c>
      <c r="F5" s="150">
        <v>0.186</v>
      </c>
      <c r="G5" s="148">
        <f>F5/2</f>
        <v>0.093</v>
      </c>
    </row>
    <row r="6" spans="1:7" ht="12.75">
      <c r="A6" s="68"/>
      <c r="B6" s="69" t="s">
        <v>2</v>
      </c>
      <c r="C6" s="77">
        <f>Eingabe!B5</f>
        <v>1</v>
      </c>
      <c r="E6" s="46" t="s">
        <v>82</v>
      </c>
      <c r="F6" s="149">
        <v>0.025</v>
      </c>
      <c r="G6" s="148">
        <f>F6/2</f>
        <v>0.0125</v>
      </c>
    </row>
    <row r="7" spans="1:8" ht="12.75">
      <c r="A7" s="68"/>
      <c r="B7" s="69" t="s">
        <v>56</v>
      </c>
      <c r="C7" s="78">
        <f>IF(C6=6,0,Eingabe!B17*100)</f>
        <v>0</v>
      </c>
      <c r="E7" s="46" t="s">
        <v>83</v>
      </c>
      <c r="F7" s="149">
        <v>0.0305</v>
      </c>
      <c r="G7" s="148">
        <f>IF(AND('[1]Eingabe'!B12=1,'[1]Eingabe'!B14=1),F8+F9,IF('[1]Eingabe'!B14=1,F8,IF(AND('[1]Eingabe'!B7=0,'[1]Eingabe'!B12=1),F7/2+F9,F7/2)))</f>
        <v>0.01525</v>
      </c>
      <c r="H7" s="44" t="s">
        <v>97</v>
      </c>
    </row>
    <row r="8" spans="1:7" ht="12.75">
      <c r="A8" s="68"/>
      <c r="B8" s="69" t="s">
        <v>57</v>
      </c>
      <c r="C8" s="79">
        <f>Eingabe!B18*100</f>
        <v>0</v>
      </c>
      <c r="E8" s="46" t="s">
        <v>84</v>
      </c>
      <c r="F8" s="147">
        <v>0.02025</v>
      </c>
      <c r="G8" s="151"/>
    </row>
    <row r="9" spans="1:8" ht="12.75">
      <c r="A9" s="68"/>
      <c r="B9" s="118" t="s">
        <v>64</v>
      </c>
      <c r="C9" s="80">
        <f>IF(Eingabe!B14=0,F15,F16)</f>
        <v>80400</v>
      </c>
      <c r="E9" s="46" t="s">
        <v>84</v>
      </c>
      <c r="F9" s="147">
        <v>0.0025</v>
      </c>
      <c r="G9" s="152"/>
      <c r="H9" s="44"/>
    </row>
    <row r="10" spans="1:7" ht="12.75">
      <c r="A10" s="68"/>
      <c r="B10" s="107" t="s">
        <v>114</v>
      </c>
      <c r="C10" s="80">
        <f>IF(Eingabe!$B$10&gt;20,MAX($C$31,ROUNDDOWN(Eingabe!$B$10*12,2)-IF(Eingabe!$B$12=1,IF(Eingabe!$B$14=1,SUM(F11,F7,-F8),SUM(F11,F7/2))*MIN(C5/100,F17),0)),0)</f>
        <v>0</v>
      </c>
      <c r="E10" s="46" t="s">
        <v>122</v>
      </c>
      <c r="F10" s="147">
        <v>0.009</v>
      </c>
      <c r="G10" s="152"/>
    </row>
    <row r="11" spans="1:8" ht="12.75">
      <c r="A11" s="70"/>
      <c r="B11" s="69" t="s">
        <v>60</v>
      </c>
      <c r="C11" s="81">
        <f>IF(AND(Eingabe!B13=1,Eingabe!B15=1),F8+F9,IF(Eingabe!B15=1,F8,IF(AND(Eingabe!B8=0,Eingabe!B13=1),F7/2+F9,F7/2)))</f>
        <v>0.01525</v>
      </c>
      <c r="E11" s="130" t="s">
        <v>113</v>
      </c>
      <c r="F11" s="131">
        <v>0.0745</v>
      </c>
      <c r="G11" s="151">
        <f>F3/2+F7-G7+F10/2</f>
        <v>0.09275</v>
      </c>
      <c r="H11" s="153" t="s">
        <v>121</v>
      </c>
    </row>
    <row r="12" spans="1:7" ht="12.75">
      <c r="A12" s="68"/>
      <c r="B12" s="69" t="s">
        <v>61</v>
      </c>
      <c r="C12" s="82">
        <f>IF(OR(OR(Eingabe!B6=0,Eingabe!B6&gt;1),Eingabe!B5&lt;&gt;4),1,Eingabe!B6)</f>
        <v>1</v>
      </c>
      <c r="E12" s="44"/>
      <c r="F12" s="44"/>
      <c r="G12" s="44"/>
    </row>
    <row r="13" spans="1:11" s="1" customFormat="1" ht="16.5">
      <c r="A13" s="100" t="s">
        <v>102</v>
      </c>
      <c r="B13" s="104" t="s">
        <v>103</v>
      </c>
      <c r="C13" s="83">
        <f>IF(Eingabe!B16=1,0.4,IF(Eingabe!B16=2,0.384,IF(Eingabe!B16=3,0.368,IF(Eingabe!B16=4,0.352,IF(Eingabe!B16=5,0.336,IF(Eingabe!B16=6,0.32,IF(Eingabe!B16=7,0.304,IF(Eingabe!B16=8,0.288,0))))))))+IF(Eingabe!B16=9,0.272,IF(Eingabe!B16=10,0.256,IF(Eingabe!B16=11,0.24,IF(Eingabe!B16=12,0.224,IF(Eingabe!B16=13,0.208,IF(Eingabe!B16=14,0.192,IF(Eingabe!B16=15,0.176,0)))))))</f>
        <v>0</v>
      </c>
      <c r="D13" s="101"/>
      <c r="E13" s="119" t="s">
        <v>92</v>
      </c>
      <c r="F13" s="120"/>
      <c r="G13" s="121"/>
      <c r="H13"/>
      <c r="I13" s="96"/>
      <c r="J13" s="96"/>
      <c r="K13" s="96"/>
    </row>
    <row r="14" spans="1:11" s="1" customFormat="1" ht="15.75" thickBot="1">
      <c r="A14" s="102"/>
      <c r="B14" s="1" t="s">
        <v>104</v>
      </c>
      <c r="C14" s="75">
        <f>IF(Eingabe!B16=1,190000,IF(Eingabe!B16=2,182400,IF(Eingabe!B16=3,174800,IF(Eingabe!B16=4,167200,IF(Eingabe!B16=5,159600,IF(Eingabe!B16=6,152000,IF(Eingabe!B16=7,144400,IF(Eingabe!B16=8,136800,0))))))))+IF(Eingabe!B16=9,129200,IF(Eingabe!B16=10,121600,IF(Eingabe!B16=11,114000,IF(Eingabe!B16=12,106400,IF(Eingabe!B16=13,98800,IF(Eingabe!B16=14,91200,IF(Eingabe!B16=15,83600,0)))))))</f>
        <v>0</v>
      </c>
      <c r="D14" s="101"/>
      <c r="E14" s="122" t="s">
        <v>94</v>
      </c>
      <c r="F14" s="123" t="s">
        <v>93</v>
      </c>
      <c r="G14" s="122" t="s">
        <v>95</v>
      </c>
      <c r="H14" s="96"/>
      <c r="I14" s="96"/>
      <c r="J14" s="96"/>
      <c r="K14" s="96"/>
    </row>
    <row r="15" spans="2:11" s="1" customFormat="1" ht="13.5" thickTop="1">
      <c r="B15" s="1" t="s">
        <v>105</v>
      </c>
      <c r="C15" s="75">
        <f>C14</f>
        <v>0</v>
      </c>
      <c r="D15" s="101"/>
      <c r="E15" s="45" t="s">
        <v>64</v>
      </c>
      <c r="F15" s="134">
        <v>80400</v>
      </c>
      <c r="G15" s="54" t="s">
        <v>72</v>
      </c>
      <c r="H15" s="96"/>
      <c r="I15" s="96"/>
      <c r="J15" s="96"/>
      <c r="K15" s="96"/>
    </row>
    <row r="16" spans="2:11" s="1" customFormat="1" ht="12.75">
      <c r="B16" s="1" t="s">
        <v>106</v>
      </c>
      <c r="C16" s="75">
        <f>IF(Eingabe!B16=0,0,IF((C5*C13)&gt;C15,C15,C5*C13))</f>
        <v>0</v>
      </c>
      <c r="D16" s="101"/>
      <c r="E16" s="45" t="s">
        <v>64</v>
      </c>
      <c r="F16" s="135">
        <v>73800</v>
      </c>
      <c r="G16" s="55"/>
      <c r="H16" s="96"/>
      <c r="I16" s="96"/>
      <c r="J16" s="96"/>
      <c r="K16" s="96"/>
    </row>
    <row r="17" spans="2:11" s="1" customFormat="1" ht="12.75">
      <c r="B17" s="1" t="s">
        <v>107</v>
      </c>
      <c r="C17" s="84">
        <f>C5-C8+C7-C16</f>
        <v>4200000</v>
      </c>
      <c r="D17" s="101"/>
      <c r="E17" s="45" t="s">
        <v>68</v>
      </c>
      <c r="F17" s="134">
        <v>54450</v>
      </c>
      <c r="G17" s="55"/>
      <c r="H17" s="96"/>
      <c r="I17" s="96"/>
      <c r="J17" s="96"/>
      <c r="K17" s="96"/>
    </row>
    <row r="18" spans="2:11" s="1" customFormat="1" ht="12.75">
      <c r="B18" s="1" t="s">
        <v>28</v>
      </c>
      <c r="C18" s="84">
        <f>C5</f>
        <v>4200000</v>
      </c>
      <c r="D18" s="101"/>
      <c r="E18" s="46" t="s">
        <v>69</v>
      </c>
      <c r="F18" s="136">
        <v>0.0745</v>
      </c>
      <c r="G18" s="55"/>
      <c r="H18" s="96"/>
      <c r="I18" s="96"/>
      <c r="J18" s="96"/>
      <c r="K18" s="96"/>
    </row>
    <row r="19" spans="3:11" s="1" customFormat="1" ht="12.75">
      <c r="C19" s="75"/>
      <c r="D19" s="101"/>
      <c r="E19" s="51" t="s">
        <v>71</v>
      </c>
      <c r="F19" s="137">
        <v>0.76</v>
      </c>
      <c r="G19" s="55"/>
      <c r="H19" s="96"/>
      <c r="I19" s="96"/>
      <c r="J19" s="96"/>
      <c r="K19" s="96"/>
    </row>
    <row r="20" spans="1:11" s="1" customFormat="1" ht="12.75">
      <c r="A20" s="100" t="s">
        <v>108</v>
      </c>
      <c r="B20" s="103" t="s">
        <v>107</v>
      </c>
      <c r="C20" s="83">
        <f>C17/100</f>
        <v>42000</v>
      </c>
      <c r="D20" s="101"/>
      <c r="E20" s="61" t="s">
        <v>65</v>
      </c>
      <c r="F20" s="138">
        <v>10635</v>
      </c>
      <c r="G20" s="55"/>
      <c r="H20" s="96"/>
      <c r="I20" s="96"/>
      <c r="J20" s="96"/>
      <c r="K20" s="96"/>
    </row>
    <row r="21" spans="2:11" s="1" customFormat="1" ht="12.75">
      <c r="B21" s="1" t="s">
        <v>28</v>
      </c>
      <c r="C21" s="75">
        <f>C18/100</f>
        <v>42000</v>
      </c>
      <c r="D21" s="101"/>
      <c r="E21" s="61" t="s">
        <v>66</v>
      </c>
      <c r="F21" s="138">
        <v>27980</v>
      </c>
      <c r="G21" s="55"/>
      <c r="H21" s="96"/>
      <c r="I21" s="96"/>
      <c r="J21" s="96"/>
      <c r="K21" s="96"/>
    </row>
    <row r="22" spans="3:11" s="1" customFormat="1" ht="12.75">
      <c r="C22" s="75"/>
      <c r="D22" s="101"/>
      <c r="E22" s="61" t="s">
        <v>67</v>
      </c>
      <c r="F22" s="138">
        <v>212261</v>
      </c>
      <c r="G22" s="55"/>
      <c r="H22" s="96"/>
      <c r="I22" s="96"/>
      <c r="J22" s="96"/>
      <c r="K22" s="96"/>
    </row>
    <row r="23" spans="1:8" ht="12.75">
      <c r="A23" s="71" t="s">
        <v>5</v>
      </c>
      <c r="B23" s="72" t="s">
        <v>6</v>
      </c>
      <c r="C23" s="83">
        <f>IF(C6=3,2,1)</f>
        <v>1</v>
      </c>
      <c r="E23" s="61" t="s">
        <v>70</v>
      </c>
      <c r="F23" s="138">
        <v>9168</v>
      </c>
      <c r="G23" s="55"/>
      <c r="H23" s="96"/>
    </row>
    <row r="24" spans="1:7" ht="13.5" thickBot="1">
      <c r="A24" s="73"/>
      <c r="B24" s="69" t="s">
        <v>7</v>
      </c>
      <c r="C24" s="84">
        <f>F25</f>
        <v>1000</v>
      </c>
      <c r="E24" s="62" t="s">
        <v>24</v>
      </c>
      <c r="F24" s="139">
        <v>972</v>
      </c>
      <c r="G24" s="56"/>
    </row>
    <row r="25" spans="1:7" ht="13.5" thickTop="1">
      <c r="A25" s="73"/>
      <c r="B25" s="69" t="s">
        <v>34</v>
      </c>
      <c r="C25" s="75">
        <f>IF(C6=2,F26,0)</f>
        <v>0</v>
      </c>
      <c r="E25" s="46" t="s">
        <v>7</v>
      </c>
      <c r="F25" s="140">
        <v>1000</v>
      </c>
      <c r="G25" s="57" t="s">
        <v>5</v>
      </c>
    </row>
    <row r="26" spans="1:7" ht="12.75">
      <c r="A26" s="68"/>
      <c r="B26" s="69" t="s">
        <v>8</v>
      </c>
      <c r="C26" s="75">
        <f>IF(C6&gt;5,0,F27)</f>
        <v>36</v>
      </c>
      <c r="E26" s="46" t="s">
        <v>34</v>
      </c>
      <c r="F26" s="135">
        <v>1908</v>
      </c>
      <c r="G26" s="55"/>
    </row>
    <row r="27" spans="1:7" ht="12.75">
      <c r="A27" s="68"/>
      <c r="B27" s="69" t="s">
        <v>9</v>
      </c>
      <c r="C27" s="75">
        <f>IF(C6&lt;4,C2*F28,IF(C6=4,C2*F28/2,0))</f>
        <v>0</v>
      </c>
      <c r="E27" s="51" t="s">
        <v>8</v>
      </c>
      <c r="F27" s="141">
        <v>36</v>
      </c>
      <c r="G27" s="55"/>
    </row>
    <row r="28" spans="1:7" ht="13.5" thickBot="1">
      <c r="A28" s="68"/>
      <c r="B28" s="69" t="s">
        <v>10</v>
      </c>
      <c r="C28" s="84">
        <f>IF(C6=6,0,C24+C25+C26)</f>
        <v>1036</v>
      </c>
      <c r="E28" s="47" t="s">
        <v>9</v>
      </c>
      <c r="F28" s="142">
        <v>7620</v>
      </c>
      <c r="G28" s="56"/>
    </row>
    <row r="29" spans="1:7" ht="13.5" thickTop="1">
      <c r="A29" s="71" t="s">
        <v>36</v>
      </c>
      <c r="B29" s="72" t="s">
        <v>28</v>
      </c>
      <c r="C29" s="85">
        <f>MIN(C9,C21)</f>
        <v>42000</v>
      </c>
      <c r="E29" s="45" t="s">
        <v>86</v>
      </c>
      <c r="F29" s="143">
        <v>1900</v>
      </c>
      <c r="G29" s="58" t="s">
        <v>36</v>
      </c>
    </row>
    <row r="30" spans="1:7" ht="13.5" thickBot="1">
      <c r="A30" s="68"/>
      <c r="B30" s="69" t="s">
        <v>37</v>
      </c>
      <c r="C30" s="86">
        <f>IF(C4=1,0,ROUNDDOWN(F19*C29*G5,2))</f>
        <v>2968.56</v>
      </c>
      <c r="E30" s="47" t="s">
        <v>86</v>
      </c>
      <c r="F30" s="142">
        <v>3000</v>
      </c>
      <c r="G30" s="56"/>
    </row>
    <row r="31" spans="1:7" ht="13.5" thickTop="1">
      <c r="A31" s="68"/>
      <c r="B31" s="118" t="s">
        <v>39</v>
      </c>
      <c r="C31" s="86">
        <f>IF(C23=1,F29,F30)</f>
        <v>1900</v>
      </c>
      <c r="E31" s="63"/>
      <c r="F31" s="144">
        <v>0.42</v>
      </c>
      <c r="G31" s="54" t="s">
        <v>16</v>
      </c>
    </row>
    <row r="32" spans="1:7" ht="13.5" thickBot="1">
      <c r="A32" s="68"/>
      <c r="B32" s="118" t="s">
        <v>38</v>
      </c>
      <c r="C32" s="86">
        <f>MIN(C31,ROUNDDOWN(0.12*C29,2))</f>
        <v>1900</v>
      </c>
      <c r="E32" s="56"/>
      <c r="F32" s="139">
        <v>0.45</v>
      </c>
      <c r="G32" s="56"/>
    </row>
    <row r="33" spans="1:7" ht="14.25" thickBot="1" thickTop="1">
      <c r="A33" s="68"/>
      <c r="B33" s="124" t="str">
        <f>IF(Eingabe!B10=0,"KVSatz=0",(Eingabe!B10+Eingabe!B11)/2&amp;" % + PV")</f>
        <v>7,75 % + PV</v>
      </c>
      <c r="C33" s="125">
        <f>IF(Eingabe!B10=0,0,G4+C11)</f>
        <v>0.08975</v>
      </c>
      <c r="E33" s="56" t="s">
        <v>87</v>
      </c>
      <c r="F33" s="145">
        <v>5.5</v>
      </c>
      <c r="G33" s="59" t="s">
        <v>23</v>
      </c>
    </row>
    <row r="34" spans="1:7" ht="13.5" thickTop="1">
      <c r="A34" s="68"/>
      <c r="B34" s="126" t="s">
        <v>58</v>
      </c>
      <c r="C34" s="87">
        <f>IF(C10&gt;0,IF(C6=6,0,C10),ROUNDDOWN(MIN(C21,F17)*C33*100,0)/100)</f>
        <v>3769.5</v>
      </c>
      <c r="D34" s="53"/>
      <c r="E34" s="55"/>
      <c r="F34" s="138">
        <v>14254</v>
      </c>
      <c r="G34" s="58" t="s">
        <v>119</v>
      </c>
    </row>
    <row r="35" spans="1:7" ht="12.75">
      <c r="A35" s="68"/>
      <c r="B35" s="118" t="s">
        <v>59</v>
      </c>
      <c r="C35" s="86">
        <f>IF(C34&gt;C32,C34,C32)</f>
        <v>3769.5</v>
      </c>
      <c r="E35" s="55"/>
      <c r="F35" s="138">
        <v>55960</v>
      </c>
      <c r="G35" s="55"/>
    </row>
    <row r="36" spans="1:7" ht="12.75">
      <c r="A36" s="68"/>
      <c r="B36" s="118" t="s">
        <v>40</v>
      </c>
      <c r="C36" s="86">
        <f>ROUNDUP(C30+C35,0)</f>
        <v>6739</v>
      </c>
      <c r="E36" s="55"/>
      <c r="F36" s="138">
        <v>265327</v>
      </c>
      <c r="G36" s="55"/>
    </row>
    <row r="37" spans="1:7" ht="12.75">
      <c r="A37" s="71" t="s">
        <v>21</v>
      </c>
      <c r="B37" s="105" t="s">
        <v>11</v>
      </c>
      <c r="C37" s="85">
        <f>ROUNDDOWN(C20-C28-C36,0)</f>
        <v>34225</v>
      </c>
      <c r="E37" s="55"/>
      <c r="F37" s="146">
        <v>216.16</v>
      </c>
      <c r="G37" s="55"/>
    </row>
    <row r="38" spans="1:7" ht="12.75">
      <c r="A38" s="106"/>
      <c r="B38" s="107" t="s">
        <v>109</v>
      </c>
      <c r="C38" s="84">
        <f>MAX(0,ROUNDDOWN(C37/C23,0))</f>
        <v>34225</v>
      </c>
      <c r="E38" s="55"/>
      <c r="F38" s="138">
        <v>2397</v>
      </c>
      <c r="G38" s="55"/>
    </row>
    <row r="39" spans="1:7" ht="12.75">
      <c r="A39" s="71" t="s">
        <v>123</v>
      </c>
      <c r="B39" s="72" t="s">
        <v>13</v>
      </c>
      <c r="C39" s="88">
        <f>IF(C38&lt;=F23,0,IF(C38&lt;=F34,INT((F40*(C38-F23)/10000+F41)*(C38-F23)/10000),IF(C38&lt;=F35,INT((F37*(C38-F34)/10000+F38)*(C38-F34)/10000+F39),IF(C38&lt;F36,INT(C38*F31-F42),INT(C38*F32-F43)))))*C23</f>
        <v>6614</v>
      </c>
      <c r="E39" s="55"/>
      <c r="F39" s="146">
        <v>965.58</v>
      </c>
      <c r="G39" s="55"/>
    </row>
    <row r="40" spans="1:8" ht="12.75">
      <c r="A40" s="71" t="s">
        <v>16</v>
      </c>
      <c r="B40" s="72" t="s">
        <v>12</v>
      </c>
      <c r="C40" s="89">
        <f>MIN(F21,C38)*1.25</f>
        <v>34975</v>
      </c>
      <c r="E40" s="55"/>
      <c r="F40" s="146">
        <v>980.14</v>
      </c>
      <c r="G40" s="55"/>
      <c r="H40" s="44"/>
    </row>
    <row r="41" spans="1:8" ht="12.75">
      <c r="A41" s="68"/>
      <c r="B41" s="69" t="s">
        <v>17</v>
      </c>
      <c r="C41" s="84">
        <f>IF(C40&lt;=F23,0,IF(C40&lt;=F34,INT((F40*(C40-F23)/10000+F41)*(C40-F23)/10000),IF(C40&lt;=F35,INT((F37*(C40-F34)/10000+F38)*(C40-F34)/10000+F39),IF(C40&lt;=F36,INT(C40*F31-F42),INT(C40*F32-F43)))))</f>
        <v>6860</v>
      </c>
      <c r="E41" s="55"/>
      <c r="F41" s="138">
        <v>1400</v>
      </c>
      <c r="G41" s="55"/>
      <c r="H41" s="44"/>
    </row>
    <row r="42" spans="1:8" ht="12.75">
      <c r="A42" s="68"/>
      <c r="B42" s="69" t="s">
        <v>12</v>
      </c>
      <c r="C42" s="84">
        <f>MIN(F21,C38)*0.75</f>
        <v>20985</v>
      </c>
      <c r="E42" s="55"/>
      <c r="F42" s="146">
        <v>8780.9</v>
      </c>
      <c r="G42" s="55"/>
      <c r="H42" s="44"/>
    </row>
    <row r="43" spans="1:8" ht="12.75">
      <c r="A43" s="68"/>
      <c r="B43" s="69" t="s">
        <v>18</v>
      </c>
      <c r="C43" s="75">
        <f>IF(C42&lt;=F23,0,IF(C42&lt;=F34,INT((F40*(C42-F23)/10000+F41)*(C42-F23)/10000),IF(C42&lt;=F35,INT((F37*(C42-F34)/10000+F38)*(C42-F34)/10000+F39),IF(C42&lt;F36,INT(C42*F31-F42),INT(C42*F32-F43)))))</f>
        <v>2676</v>
      </c>
      <c r="E43" s="60"/>
      <c r="F43" s="146">
        <v>16740.68</v>
      </c>
      <c r="G43" s="60"/>
      <c r="H43" s="44"/>
    </row>
    <row r="44" spans="1:8" ht="12.75">
      <c r="A44" s="68"/>
      <c r="B44" s="69" t="s">
        <v>19</v>
      </c>
      <c r="C44" s="84">
        <f>(C41-C43)*2</f>
        <v>8368</v>
      </c>
      <c r="H44" s="44"/>
    </row>
    <row r="45" spans="1:8" ht="12.75">
      <c r="A45" s="68"/>
      <c r="B45" s="69" t="s">
        <v>20</v>
      </c>
      <c r="C45" s="84">
        <f>ROUNDDOWN(MIN(C38,F21)*0.14,0)</f>
        <v>3917</v>
      </c>
      <c r="H45" s="44"/>
    </row>
    <row r="46" spans="1:3" ht="12.75">
      <c r="A46" s="68"/>
      <c r="B46" s="69" t="s">
        <v>13</v>
      </c>
      <c r="C46" s="84">
        <f>MAX(C44,C45)</f>
        <v>8368</v>
      </c>
    </row>
    <row r="47" spans="1:3" ht="12.75">
      <c r="A47" s="68"/>
      <c r="B47" s="69" t="s">
        <v>13</v>
      </c>
      <c r="C47" s="84">
        <f>IF(C38&gt;F22,(F22-F21)*F31+C46,ROUNDDOWN(MAX(C38-F21,0)*F31+C46,0))</f>
        <v>10990</v>
      </c>
    </row>
    <row r="48" spans="1:3" ht="12.75">
      <c r="A48" s="68"/>
      <c r="B48" s="69" t="s">
        <v>52</v>
      </c>
      <c r="C48" s="84">
        <f>IF(AND(C38&gt;F20,C38&lt;=F21),C46,0)</f>
        <v>0</v>
      </c>
    </row>
    <row r="49" spans="1:3" ht="12.75">
      <c r="A49" s="68"/>
      <c r="B49" s="69" t="s">
        <v>13</v>
      </c>
      <c r="C49" s="84">
        <f>ROUNDDOWN(F20*0.14,0)</f>
        <v>1488</v>
      </c>
    </row>
    <row r="50" spans="1:3" ht="12.75">
      <c r="A50" s="68"/>
      <c r="B50" s="69" t="s">
        <v>13</v>
      </c>
      <c r="C50" s="84">
        <f>MIN(ROUNDDOWN(MAX(C38-F20,0)*F31+C49,0),C47)</f>
        <v>10990</v>
      </c>
    </row>
    <row r="51" spans="1:3" ht="12.75">
      <c r="A51" s="68"/>
      <c r="B51" s="69" t="s">
        <v>53</v>
      </c>
      <c r="C51" s="84">
        <f>ROUNDDOWN(MAX(C38-F22,0)*F32+C50,0)</f>
        <v>10990</v>
      </c>
    </row>
    <row r="52" spans="1:3" ht="12.75">
      <c r="A52" s="68"/>
      <c r="B52" s="69" t="s">
        <v>14</v>
      </c>
      <c r="C52" s="84">
        <f>ROUNDDOWN(IF(C6&lt;5,C39,C51)*C12,0)</f>
        <v>6614</v>
      </c>
    </row>
    <row r="53" spans="1:3" ht="12.75">
      <c r="A53" s="68"/>
      <c r="B53" s="69" t="s">
        <v>4</v>
      </c>
      <c r="C53" s="84">
        <f>C52*100</f>
        <v>661400</v>
      </c>
    </row>
    <row r="54" spans="1:3" ht="12.75">
      <c r="A54" s="71" t="s">
        <v>51</v>
      </c>
      <c r="B54" s="72" t="s">
        <v>32</v>
      </c>
      <c r="C54" s="85">
        <f>IF(C3=1,C53,IF(C3=2,ROUNDDOWN(C53/12,0),IF(C3=3,ROUNDDOWN((C53*7)/360,0),ROUNDDOWN(C53/360,0))))</f>
        <v>55116</v>
      </c>
    </row>
    <row r="55" spans="1:3" ht="12.75">
      <c r="A55" s="68"/>
      <c r="B55" s="69" t="s">
        <v>10</v>
      </c>
      <c r="C55" s="84">
        <f>C27+C28</f>
        <v>1036</v>
      </c>
    </row>
    <row r="56" spans="1:3" ht="12.75">
      <c r="A56" s="68"/>
      <c r="B56" s="69" t="s">
        <v>11</v>
      </c>
      <c r="C56" s="84">
        <f>C5/100-C36-C55</f>
        <v>34225</v>
      </c>
    </row>
    <row r="57" spans="1:3" ht="12.75">
      <c r="A57" s="68"/>
      <c r="B57" s="69" t="s">
        <v>35</v>
      </c>
      <c r="C57" s="84">
        <f>IF(C56&lt;36,0,ROUNDDOWN(C56/C23,0))</f>
        <v>34225</v>
      </c>
    </row>
    <row r="58" spans="1:3" ht="12.75">
      <c r="A58" s="68"/>
      <c r="B58" s="69" t="s">
        <v>13</v>
      </c>
      <c r="C58" s="84">
        <f>IF(C57&lt;=F23,0,IF(C57&lt;=F34,INT((F40*(C57-F23)/10000+F41)*(C57-F23)/10000),IF(C57&lt;=F35,INT((F37*(C57-F34)/10000+F38)*(C57-F34)/10000+F39),IF(C57&lt;F36,INT(C57*F31-F42),INT(C57*F32-F43)))))*C23</f>
        <v>6614</v>
      </c>
    </row>
    <row r="59" spans="1:3" ht="12.75">
      <c r="A59" s="68"/>
      <c r="B59" s="69" t="s">
        <v>22</v>
      </c>
      <c r="C59" s="84">
        <f>IF(C2&gt;0,ROUNDDOWN(C58*C12,0),C52)</f>
        <v>6614</v>
      </c>
    </row>
    <row r="60" spans="1:3" ht="12.75">
      <c r="A60" s="71" t="s">
        <v>23</v>
      </c>
      <c r="B60" s="72" t="s">
        <v>24</v>
      </c>
      <c r="C60" s="83">
        <f>(F24)*C23</f>
        <v>972</v>
      </c>
    </row>
    <row r="61" spans="1:3" ht="12.75">
      <c r="A61" s="68"/>
      <c r="B61" s="69" t="s">
        <v>25</v>
      </c>
      <c r="C61" s="82">
        <f>ROUNDDOWN((C59*5.5)/100,2)</f>
        <v>363.77</v>
      </c>
    </row>
    <row r="62" spans="1:3" ht="12.75">
      <c r="A62" s="68"/>
      <c r="B62" s="69" t="s">
        <v>26</v>
      </c>
      <c r="C62" s="82">
        <f>((C59-C60)*20)/100</f>
        <v>1128.4</v>
      </c>
    </row>
    <row r="63" spans="1:3" ht="12.75">
      <c r="A63" s="68"/>
      <c r="B63" s="69" t="s">
        <v>25</v>
      </c>
      <c r="C63" s="82">
        <f>MIN(C62,C61)</f>
        <v>363.77</v>
      </c>
    </row>
    <row r="64" spans="1:3" ht="12.75">
      <c r="A64" s="68"/>
      <c r="B64" s="69" t="s">
        <v>4</v>
      </c>
      <c r="C64" s="75">
        <f>C63*100</f>
        <v>36377</v>
      </c>
    </row>
    <row r="65" spans="1:3" ht="12.75">
      <c r="A65" s="71" t="s">
        <v>50</v>
      </c>
      <c r="B65" s="72" t="s">
        <v>15</v>
      </c>
      <c r="C65" s="85">
        <f>ROUNDDOWN(IF(C3=1,C64,IF(C3=2,C64/12,IF(C3=3,(C64*7)/360,C64/360))),0)</f>
        <v>3031</v>
      </c>
    </row>
    <row r="66" spans="1:3" ht="12.75">
      <c r="A66" s="68"/>
      <c r="B66" s="69" t="s">
        <v>33</v>
      </c>
      <c r="C66" s="84">
        <f>IF(C59&gt;C60,C65,0)</f>
        <v>3031</v>
      </c>
    </row>
    <row r="67" spans="1:3" ht="12.75">
      <c r="A67" s="68"/>
      <c r="B67" s="69" t="s">
        <v>4</v>
      </c>
      <c r="C67" s="84">
        <f>C59*100</f>
        <v>661400</v>
      </c>
    </row>
    <row r="68" spans="1:3" ht="12.75">
      <c r="A68" s="90" t="s">
        <v>27</v>
      </c>
      <c r="B68" s="91" t="s">
        <v>27</v>
      </c>
      <c r="C68" s="92">
        <f>ROUNDDOWN(IF(C3=1,C67,IF(C3=2,C67/12,IF(C3=3,(C67*7)/360,C67/360))),0)</f>
        <v>55116</v>
      </c>
    </row>
    <row r="69" spans="1:3" ht="12.75">
      <c r="A69" s="90" t="s">
        <v>115</v>
      </c>
      <c r="B69" s="91" t="s">
        <v>116</v>
      </c>
      <c r="C69" s="133">
        <f>IF(C3=1,12,IF(C3=2,1,IF(C3=3,84/360,12/360)))</f>
        <v>1</v>
      </c>
    </row>
  </sheetData>
  <sheetProtection/>
  <printOptions/>
  <pageMargins left="0.787401575" right="0.787401575" top="0.984251969" bottom="0.984251969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HAGrom/2016</Manager>
  <Company>excelhelper.de</Company>
  <HyperlinkBase>www.excelhelper.de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EXCEL-Lohnsteuerberechnung mit Zellfunktionen</dc:title>
  <dc:subject/>
  <dc:creator>Wolfgang Parmentier/Dr. Johannes Parmentier</dc:creator>
  <cp:keywords/>
  <dc:description>Im Dezember 2015</dc:description>
  <cp:lastModifiedBy>Johannes Parmentier</cp:lastModifiedBy>
  <cp:lastPrinted>2006-02-07T15:12:52Z</cp:lastPrinted>
  <dcterms:created xsi:type="dcterms:W3CDTF">1999-02-09T12:11:13Z</dcterms:created>
  <dcterms:modified xsi:type="dcterms:W3CDTF">2019-01-02T09:47:01Z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