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20" yWindow="700" windowWidth="19800" windowHeight="18840" activeTab="0"/>
  </bookViews>
  <sheets>
    <sheet name="Eingabe" sheetId="1" r:id="rId1"/>
    <sheet name="Berechnung" sheetId="2" r:id="rId2"/>
  </sheets>
  <definedNames>
    <definedName name="BearbJahr">'Berechnung'!$B$1</definedName>
  </definedNames>
  <calcPr fullCalcOnLoad="1" fullPrecision="0"/>
</workbook>
</file>

<file path=xl/comments2.xml><?xml version="1.0" encoding="utf-8"?>
<comments xmlns="http://schemas.openxmlformats.org/spreadsheetml/2006/main">
  <authors>
    <author>1HG</author>
    <author>Herbert Grom</author>
  </authors>
  <commentList>
    <comment ref="E15" authorId="0">
      <text>
        <r>
          <rPr>
            <b/>
            <sz val="14"/>
            <rFont val="Segoe UI"/>
            <family val="2"/>
          </rPr>
          <t>WEST</t>
        </r>
      </text>
    </comment>
    <comment ref="E16" authorId="0">
      <text>
        <r>
          <rPr>
            <b/>
            <sz val="14"/>
            <color indexed="8"/>
            <rFont val="Segoe UI"/>
            <family val="2"/>
          </rPr>
          <t>OST</t>
        </r>
      </text>
    </comment>
    <comment ref="F19" authorId="1">
      <text>
        <r>
          <rPr>
            <sz val="10"/>
            <color indexed="8"/>
            <rFont val="Arial"/>
            <family val="2"/>
          </rPr>
          <t xml:space="preserve">Basis 2015 ist 0,60. 
</t>
        </r>
        <r>
          <rPr>
            <sz val="10"/>
            <color indexed="8"/>
            <rFont val="Arial"/>
            <family val="2"/>
          </rPr>
          <t>Jedes folgende Jahr + 0,04</t>
        </r>
      </text>
    </comment>
    <comment ref="E28" authorId="0">
      <text>
        <r>
          <rPr>
            <b/>
            <sz val="14"/>
            <rFont val="Segoe UI"/>
            <family val="2"/>
          </rPr>
          <t>KinderFreibeträge</t>
        </r>
      </text>
    </comment>
  </commentList>
</comments>
</file>

<file path=xl/sharedStrings.xml><?xml version="1.0" encoding="utf-8"?>
<sst xmlns="http://schemas.openxmlformats.org/spreadsheetml/2006/main" count="175" uniqueCount="130">
  <si>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</si>
  <si>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</si>
  <si>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</si>
  <si>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</si>
  <si>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</si>
  <si>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</si>
  <si>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</si>
  <si>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</si>
  <si>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</si>
  <si>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</si>
  <si>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</si>
  <si>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</si>
  <si>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</si>
  <si>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</si>
  <si>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</si>
  <si>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</si>
  <si>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</si>
  <si>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</si>
  <si>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</si>
  <si>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</si>
  <si>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</si>
  <si>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</si>
  <si>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</si>
  <si>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</si>
  <si>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</si>
  <si>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</si>
  <si>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</si>
  <si>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</si>
  <si>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</si>
  <si>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</si>
  <si>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</si>
  <si>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</si>
  <si>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</si>
  <si>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</si>
  <si>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</si>
  <si>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</si>
  <si>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</si>
  <si>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</si>
  <si>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</si>
  <si>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</si>
  <si>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</si>
  <si>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</si>
  <si>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</si>
  <si>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</si>
  <si>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</si>
  <si>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</si>
  <si>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</si>
  <si>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</si>
  <si>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</si>
  <si>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</si>
  <si>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</si>
  <si>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</si>
  <si>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</si>
  <si>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</si>
  <si>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</si>
  <si>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</si>
  <si>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</si>
  <si>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</si>
  <si>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</si>
  <si>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</si>
  <si>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</si>
  <si>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</si>
  <si>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</si>
  <si>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</si>
  <si>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BBGRV</t>
  </si>
  <si>
    <t>UPTAB16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</si>
  <si>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</si>
  <si>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</si>
  <si>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</si>
  <si>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</si>
  <si>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</si>
  <si>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</si>
  <si>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</si>
  <si>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</si>
  <si>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Ehegattenfaktor nur für StKl IV</t>
  </si>
  <si>
    <t>Kinderfreibetrag (0, 0.5, 1, 1.5, 2.0, 2.5 usw)</t>
  </si>
  <si>
    <t>Krankenkassen-Zusatzbeitragsatz AN</t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</si>
  <si>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</si>
  <si>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</si>
  <si>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</si>
  <si>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</si>
  <si>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</si>
  <si>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</si>
  <si>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</si>
  <si>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</si>
  <si>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</si>
  <si>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</si>
  <si>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</si>
  <si>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</si>
  <si>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</si>
  <si>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</si>
  <si>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</si>
  <si>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</si>
  <si>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</si>
  <si>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</si>
  <si>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</si>
  <si>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</si>
  <si>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</si>
  <si>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</si>
  <si>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im Jahr=1, Monat=2, Woche=3, Tag=4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</si>
  <si>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</si>
  <si>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</si>
  <si>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</si>
  <si>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</si>
  <si>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</si>
  <si>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</si>
  <si>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</si>
  <si>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</si>
  <si>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</si>
  <si>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</si>
  <si>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Krankenversicherungsbeitragssatz bzw. PKV-Basisprämie in €</t>
  </si>
  <si>
    <t>PKV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</si>
  <si>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</si>
  <si>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2"/>
      </rPr>
      <t xml:space="preserve">
(seit 2011 KV-Beitragssatz 14,6%, reduz. 14,0%) ) bzw. PKV-Basisprämie (incl. PV). Ohne Nachweis 0 eingeben.</t>
    </r>
  </si>
  <si>
    <t>KVSATZ AG</t>
  </si>
  <si>
    <t>FAKTOR LZZ</t>
  </si>
  <si>
    <t>FLZZ</t>
  </si>
  <si>
    <t>9,3% Rentenversicherung</t>
  </si>
  <si>
    <t>http://www.parmentier.de/steuer/index.php</t>
  </si>
  <si>
    <t>KV plus PV AG</t>
  </si>
  <si>
    <t>1,2% Arbeitslosenversicherung</t>
  </si>
  <si>
    <t>Geburtsjahr</t>
  </si>
  <si>
    <t>Jahr</t>
  </si>
  <si>
    <t>Nummer</t>
  </si>
  <si>
    <t>vor 1941</t>
  </si>
  <si>
    <t>bis 2005</t>
  </si>
  <si>
    <t>KV ZUSATZ Schnitt</t>
  </si>
  <si>
    <t>SOLZMIN F</t>
  </si>
  <si>
    <t>UPTAB21</t>
  </si>
  <si>
    <t>Stand 12.01.2021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</si>
</sst>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"/>
    <numFmt numFmtId="174" formatCode="0.000"/>
    <numFmt numFmtId="175" formatCode="_-* #,##0.00\ [$€-1]_-;\-* #,##0.00\ [$€-1]_-;_-* &quot;-&quot;??\ [$€-1]_-"/>
    <numFmt numFmtId="176" formatCode="#,##0.00_ ;\-#,##0.00\ "/>
    <numFmt numFmtId="177" formatCode="0.000%"/>
    <numFmt numFmtId="178" formatCode="0.00000_ ;\-0.00000\ "/>
    <numFmt numFmtId="179" formatCode="0_ ;\-0\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4"/>
      <name val="Segoe UI"/>
      <family val="2"/>
    </font>
    <font>
      <b/>
      <sz val="14"/>
      <color indexed="8"/>
      <name val="Segoe U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B50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4" fontId="60" fillId="34" borderId="14" xfId="0" applyNumberFormat="1" applyFont="1" applyFill="1" applyBorder="1" applyAlignment="1">
      <alignment/>
    </xf>
    <xf numFmtId="0" fontId="61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15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5" fillId="0" borderId="10" xfId="0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76" fontId="12" fillId="35" borderId="10" xfId="44" applyNumberFormat="1" applyFont="1" applyFill="1" applyBorder="1" applyAlignment="1">
      <alignment/>
    </xf>
    <xf numFmtId="0" fontId="12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right"/>
    </xf>
    <xf numFmtId="176" fontId="12" fillId="35" borderId="15" xfId="44" applyNumberFormat="1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4" fontId="16" fillId="36" borderId="12" xfId="0" applyNumberFormat="1" applyFont="1" applyFill="1" applyBorder="1" applyAlignment="1">
      <alignment/>
    </xf>
    <xf numFmtId="0" fontId="16" fillId="36" borderId="19" xfId="0" applyFont="1" applyFill="1" applyBorder="1" applyAlignment="1">
      <alignment horizontal="center"/>
    </xf>
    <xf numFmtId="4" fontId="16" fillId="36" borderId="14" xfId="0" applyNumberFormat="1" applyFont="1" applyFill="1" applyBorder="1" applyAlignment="1">
      <alignment/>
    </xf>
    <xf numFmtId="0" fontId="16" fillId="36" borderId="20" xfId="0" applyFont="1" applyFill="1" applyBorder="1" applyAlignment="1">
      <alignment horizontal="center"/>
    </xf>
    <xf numFmtId="2" fontId="16" fillId="36" borderId="14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7" fillId="37" borderId="13" xfId="0" applyFont="1" applyFill="1" applyBorder="1" applyAlignment="1">
      <alignment horizontal="centerContinuous"/>
    </xf>
    <xf numFmtId="0" fontId="17" fillId="37" borderId="1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0" fillId="38" borderId="21" xfId="0" applyFont="1" applyFill="1" applyBorder="1" applyAlignment="1">
      <alignment horizontal="centerContinuous" vertical="center"/>
    </xf>
    <xf numFmtId="0" fontId="0" fillId="38" borderId="22" xfId="0" applyFill="1" applyBorder="1" applyAlignment="1">
      <alignment horizontal="centerContinuous" vertical="center"/>
    </xf>
    <xf numFmtId="0" fontId="0" fillId="38" borderId="22" xfId="0" applyFill="1" applyBorder="1" applyAlignment="1">
      <alignment horizontal="centerContinuous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37" borderId="20" xfId="60" applyFont="1" applyFill="1" applyBorder="1" applyAlignment="1" applyProtection="1">
      <alignment horizontal="centerContinuous"/>
      <protection hidden="1"/>
    </xf>
    <xf numFmtId="0" fontId="13" fillId="37" borderId="13" xfId="60" applyFont="1" applyFill="1" applyBorder="1" applyAlignment="1" applyProtection="1">
      <alignment horizontal="centerContinuous"/>
      <protection hidden="1"/>
    </xf>
    <xf numFmtId="0" fontId="18" fillId="37" borderId="23" xfId="0" applyFont="1" applyFill="1" applyBorder="1" applyAlignment="1">
      <alignment horizontal="centerContinuous" vertical="center"/>
    </xf>
    <xf numFmtId="0" fontId="18" fillId="37" borderId="23" xfId="60" applyFont="1" applyFill="1" applyBorder="1" applyAlignment="1" applyProtection="1">
      <alignment horizontal="centerContinuous"/>
      <protection hidden="1"/>
    </xf>
    <xf numFmtId="0" fontId="19" fillId="37" borderId="24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right"/>
    </xf>
    <xf numFmtId="0" fontId="19" fillId="37" borderId="25" xfId="0" applyFont="1" applyFill="1" applyBorder="1" applyAlignment="1">
      <alignment horizontal="center"/>
    </xf>
    <xf numFmtId="0" fontId="14" fillId="39" borderId="26" xfId="0" applyFont="1" applyFill="1" applyBorder="1" applyAlignment="1" applyProtection="1">
      <alignment/>
      <protection hidden="1"/>
    </xf>
    <xf numFmtId="0" fontId="62" fillId="40" borderId="18" xfId="0" applyFont="1" applyFill="1" applyBorder="1" applyAlignment="1">
      <alignment horizontal="center" vertical="center"/>
    </xf>
    <xf numFmtId="0" fontId="13" fillId="39" borderId="27" xfId="0" applyFont="1" applyFill="1" applyBorder="1" applyAlignment="1" applyProtection="1">
      <alignment/>
      <protection hidden="1"/>
    </xf>
    <xf numFmtId="0" fontId="2" fillId="41" borderId="28" xfId="0" applyFont="1" applyFill="1" applyBorder="1" applyAlignment="1" applyProtection="1">
      <alignment/>
      <protection hidden="1"/>
    </xf>
    <xf numFmtId="0" fontId="0" fillId="42" borderId="29" xfId="0" applyFill="1" applyBorder="1" applyAlignment="1" applyProtection="1">
      <alignment/>
      <protection hidden="1"/>
    </xf>
    <xf numFmtId="2" fontId="0" fillId="0" borderId="3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8" fontId="0" fillId="0" borderId="30" xfId="0" applyNumberFormat="1" applyFill="1" applyBorder="1" applyAlignment="1" applyProtection="1">
      <alignment/>
      <protection hidden="1"/>
    </xf>
    <xf numFmtId="0" fontId="2" fillId="41" borderId="3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30" xfId="0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42" borderId="31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73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2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2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173" fontId="0" fillId="0" borderId="10" xfId="59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2" borderId="10" xfId="0" applyNumberFormat="1" applyFont="1" applyFill="1" applyBorder="1" applyAlignment="1" applyProtection="1">
      <alignment/>
      <protection hidden="1"/>
    </xf>
    <xf numFmtId="4" fontId="0" fillId="42" borderId="10" xfId="0" applyNumberFormat="1" applyFill="1" applyBorder="1" applyAlignment="1" applyProtection="1">
      <alignment/>
      <protection hidden="1"/>
    </xf>
    <xf numFmtId="0" fontId="2" fillId="41" borderId="32" xfId="0" applyFont="1" applyFill="1" applyBorder="1" applyAlignment="1" applyProtection="1">
      <alignment/>
      <protection hidden="1"/>
    </xf>
    <xf numFmtId="0" fontId="0" fillId="42" borderId="19" xfId="0" applyFill="1" applyBorder="1" applyAlignment="1" applyProtection="1">
      <alignment/>
      <protection hidden="1"/>
    </xf>
    <xf numFmtId="3" fontId="0" fillId="42" borderId="15" xfId="0" applyNumberFormat="1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2" fillId="33" borderId="30" xfId="0" applyFont="1" applyFill="1" applyBorder="1" applyAlignment="1">
      <alignment/>
    </xf>
    <xf numFmtId="0" fontId="12" fillId="0" borderId="0" xfId="0" applyFont="1" applyAlignment="1">
      <alignment/>
    </xf>
    <xf numFmtId="0" fontId="2" fillId="41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0" fillId="42" borderId="0" xfId="0" applyFont="1" applyFill="1" applyAlignment="1" applyProtection="1">
      <alignment/>
      <protection hidden="1"/>
    </xf>
    <xf numFmtId="0" fontId="0" fillId="42" borderId="0" xfId="0" applyFont="1" applyFill="1" applyBorder="1" applyAlignment="1" applyProtection="1">
      <alignment/>
      <protection hidden="1"/>
    </xf>
    <xf numFmtId="0" fontId="2" fillId="0" borderId="3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43" borderId="10" xfId="0" applyFont="1" applyFill="1" applyBorder="1" applyAlignment="1">
      <alignment/>
    </xf>
    <xf numFmtId="172" fontId="12" fillId="43" borderId="11" xfId="0" applyNumberFormat="1" applyFont="1" applyFill="1" applyBorder="1" applyAlignment="1">
      <alignment/>
    </xf>
    <xf numFmtId="0" fontId="12" fillId="43" borderId="0" xfId="0" applyFont="1" applyFill="1" applyAlignment="1">
      <alignment horizontal="center"/>
    </xf>
    <xf numFmtId="10" fontId="0" fillId="42" borderId="14" xfId="0" applyNumberFormat="1" applyFill="1" applyBorder="1" applyAlignment="1">
      <alignment horizontal="center"/>
    </xf>
    <xf numFmtId="0" fontId="12" fillId="43" borderId="11" xfId="0" applyNumberFormat="1" applyFont="1" applyFill="1" applyBorder="1" applyAlignment="1">
      <alignment/>
    </xf>
    <xf numFmtId="186" fontId="0" fillId="42" borderId="15" xfId="0" applyNumberFormat="1" applyFill="1" applyBorder="1" applyAlignment="1" applyProtection="1">
      <alignment/>
      <protection hidden="1"/>
    </xf>
    <xf numFmtId="177" fontId="0" fillId="44" borderId="14" xfId="0" applyNumberFormat="1" applyFill="1" applyBorder="1" applyAlignment="1">
      <alignment/>
    </xf>
    <xf numFmtId="0" fontId="0" fillId="44" borderId="14" xfId="0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4" xfId="0" applyFont="1" applyFill="1" applyBorder="1" applyAlignment="1">
      <alignment horizontal="center"/>
    </xf>
    <xf numFmtId="0" fontId="0" fillId="0" borderId="12" xfId="60" applyBorder="1" applyAlignment="1">
      <alignment vertical="center"/>
      <protection/>
    </xf>
    <xf numFmtId="177" fontId="0" fillId="42" borderId="13" xfId="60" applyNumberFormat="1" applyFill="1" applyBorder="1" applyAlignment="1">
      <alignment horizontal="right" vertical="center" indent="1"/>
      <protection/>
    </xf>
    <xf numFmtId="177" fontId="0" fillId="44" borderId="13" xfId="60" applyNumberFormat="1" applyFill="1" applyBorder="1" applyAlignment="1">
      <alignment horizontal="right" vertical="center" indent="1"/>
      <protection/>
    </xf>
    <xf numFmtId="0" fontId="0" fillId="44" borderId="0" xfId="0" applyFill="1" applyAlignment="1">
      <alignment/>
    </xf>
    <xf numFmtId="0" fontId="0" fillId="0" borderId="14" xfId="60" applyBorder="1" applyAlignment="1">
      <alignment vertical="center"/>
      <protection/>
    </xf>
    <xf numFmtId="10" fontId="0" fillId="42" borderId="14" xfId="60" applyNumberFormat="1" applyFill="1" applyBorder="1" applyAlignment="1">
      <alignment horizontal="right" vertical="center" indent="1"/>
      <protection/>
    </xf>
    <xf numFmtId="0" fontId="0" fillId="44" borderId="0" xfId="0" applyFill="1" applyAlignment="1">
      <alignment horizontal="right"/>
    </xf>
    <xf numFmtId="10" fontId="0" fillId="42" borderId="12" xfId="60" applyNumberFormat="1" applyFill="1" applyBorder="1" applyAlignment="1">
      <alignment horizontal="right" vertical="center" indent="1"/>
      <protection/>
    </xf>
    <xf numFmtId="0" fontId="0" fillId="0" borderId="14" xfId="60" applyFont="1" applyBorder="1" applyAlignment="1">
      <alignment vertical="center"/>
      <protection/>
    </xf>
    <xf numFmtId="0" fontId="19" fillId="37" borderId="25" xfId="60" applyFont="1" applyFill="1" applyBorder="1" applyProtection="1">
      <alignment/>
      <protection hidden="1"/>
    </xf>
    <xf numFmtId="0" fontId="0" fillId="44" borderId="0" xfId="0" applyFill="1" applyAlignment="1" applyProtection="1">
      <alignment/>
      <protection hidden="1"/>
    </xf>
    <xf numFmtId="3" fontId="0" fillId="42" borderId="12" xfId="60" applyNumberFormat="1" applyFill="1" applyBorder="1" applyAlignment="1" applyProtection="1">
      <alignment horizontal="right" indent="1"/>
      <protection hidden="1"/>
    </xf>
    <xf numFmtId="0" fontId="2" fillId="0" borderId="33" xfId="60" applyFont="1" applyBorder="1">
      <alignment/>
      <protection/>
    </xf>
    <xf numFmtId="3" fontId="0" fillId="42" borderId="14" xfId="60" applyNumberFormat="1" applyFill="1" applyBorder="1" applyAlignment="1" applyProtection="1">
      <alignment horizontal="right" indent="1"/>
      <protection hidden="1"/>
    </xf>
    <xf numFmtId="0" fontId="0" fillId="0" borderId="11" xfId="60" applyBorder="1">
      <alignment/>
      <protection/>
    </xf>
    <xf numFmtId="173" fontId="0" fillId="42" borderId="14" xfId="60" applyNumberFormat="1" applyFill="1" applyBorder="1" applyAlignment="1">
      <alignment horizontal="right" vertical="center" indent="1"/>
      <protection/>
    </xf>
    <xf numFmtId="0" fontId="0" fillId="0" borderId="34" xfId="60" applyBorder="1" applyAlignment="1">
      <alignment vertical="center"/>
      <protection/>
    </xf>
    <xf numFmtId="4" fontId="0" fillId="42" borderId="34" xfId="60" applyNumberFormat="1" applyFill="1" applyBorder="1" applyAlignment="1">
      <alignment horizontal="right" vertical="center" indent="1"/>
      <protection/>
    </xf>
    <xf numFmtId="0" fontId="0" fillId="0" borderId="14" xfId="60" applyBorder="1">
      <alignment/>
      <protection/>
    </xf>
    <xf numFmtId="3" fontId="0" fillId="42" borderId="14" xfId="60" applyNumberForma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/>
      <protection hidden="1"/>
    </xf>
    <xf numFmtId="0" fontId="0" fillId="0" borderId="25" xfId="60" applyBorder="1">
      <alignment/>
      <protection/>
    </xf>
    <xf numFmtId="4" fontId="0" fillId="42" borderId="25" xfId="60" applyNumberFormat="1" applyFill="1" applyBorder="1" applyAlignment="1" applyProtection="1">
      <alignment horizontal="right" vertical="center" indent="1"/>
      <protection hidden="1"/>
    </xf>
    <xf numFmtId="0" fontId="0" fillId="0" borderId="35" xfId="60" applyBorder="1">
      <alignment/>
      <protection/>
    </xf>
    <xf numFmtId="3" fontId="0" fillId="42" borderId="14" xfId="60" applyNumberFormat="1" applyFill="1" applyBorder="1" applyAlignment="1">
      <alignment horizontal="right" vertical="center" indent="1"/>
      <protection/>
    </xf>
    <xf numFmtId="0" fontId="2" fillId="0" borderId="11" xfId="60" applyFont="1" applyBorder="1" applyAlignment="1">
      <alignment vertical="center"/>
      <protection/>
    </xf>
    <xf numFmtId="3" fontId="0" fillId="42" borderId="34" xfId="60" applyNumberFormat="1" applyFill="1" applyBorder="1" applyAlignment="1">
      <alignment horizontal="right" vertical="center" indent="1"/>
      <protection/>
    </xf>
    <xf numFmtId="0" fontId="0" fillId="0" borderId="25" xfId="60" applyBorder="1" applyAlignment="1">
      <alignment vertical="center"/>
      <protection/>
    </xf>
    <xf numFmtId="3" fontId="0" fillId="42" borderId="25" xfId="60" applyNumberFormat="1" applyFill="1" applyBorder="1" applyAlignment="1">
      <alignment horizontal="right" vertical="center" indent="1"/>
      <protection/>
    </xf>
    <xf numFmtId="3" fontId="0" fillId="42" borderId="12" xfId="60" applyNumberFormat="1" applyFill="1" applyBorder="1" applyAlignment="1">
      <alignment horizontal="right" vertical="center" indent="1"/>
      <protection/>
    </xf>
    <xf numFmtId="0" fontId="2" fillId="0" borderId="11" xfId="60" applyFont="1" applyBorder="1">
      <alignment/>
      <protection/>
    </xf>
    <xf numFmtId="0" fontId="0" fillId="0" borderId="33" xfId="60" applyBorder="1">
      <alignment/>
      <protection/>
    </xf>
    <xf numFmtId="4" fontId="0" fillId="42" borderId="12" xfId="60" applyNumberFormat="1" applyFill="1" applyBorder="1" applyAlignment="1" applyProtection="1">
      <alignment horizontal="right" vertical="center" indent="1"/>
      <protection hidden="1"/>
    </xf>
    <xf numFmtId="0" fontId="0" fillId="0" borderId="17" xfId="60" applyBorder="1">
      <alignment/>
      <protection/>
    </xf>
    <xf numFmtId="4" fontId="0" fillId="42" borderId="36" xfId="60" applyNumberFormat="1" applyFill="1" applyBorder="1" applyAlignment="1" applyProtection="1">
      <alignment horizontal="right" vertical="center" indent="1"/>
      <protection hidden="1"/>
    </xf>
    <xf numFmtId="4" fontId="0" fillId="42" borderId="35" xfId="60" applyNumberFormat="1" applyFill="1" applyBorder="1" applyAlignment="1" applyProtection="1">
      <alignment horizontal="right" vertical="center" indent="1"/>
      <protection hidden="1"/>
    </xf>
    <xf numFmtId="0" fontId="2" fillId="0" borderId="35" xfId="60" applyFont="1" applyBorder="1">
      <alignment/>
      <protection/>
    </xf>
    <xf numFmtId="4" fontId="0" fillId="42" borderId="14" xfId="60" applyNumberFormat="1" applyFill="1" applyBorder="1" applyAlignment="1" applyProtection="1">
      <alignment horizontal="right" vertical="center" indent="1"/>
      <protection hidden="1"/>
    </xf>
    <xf numFmtId="0" fontId="0" fillId="0" borderId="12" xfId="60" applyBorder="1">
      <alignment/>
      <protection/>
    </xf>
    <xf numFmtId="0" fontId="0" fillId="0" borderId="10" xfId="0" applyBorder="1" applyAlignment="1" applyProtection="1">
      <alignment/>
      <protection hidden="1"/>
    </xf>
    <xf numFmtId="0" fontId="0" fillId="33" borderId="3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45" borderId="0" xfId="52" applyFill="1" applyAlignment="1" applyProtection="1">
      <alignment/>
      <protection/>
    </xf>
    <xf numFmtId="0" fontId="7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5" borderId="0" xfId="52" applyFill="1" applyAlignment="1" applyProtection="1">
      <alignment horizontal="left"/>
      <protection/>
    </xf>
    <xf numFmtId="0" fontId="7" fillId="45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top" wrapText="1"/>
    </xf>
    <xf numFmtId="0" fontId="0" fillId="43" borderId="11" xfId="0" applyFont="1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wrapText="1"/>
    </xf>
    <xf numFmtId="0" fontId="18" fillId="37" borderId="30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 2 2" xfId="59"/>
    <cellStyle name="Standard 2 2 2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parmentier.de/steuer/lohnsteuer2016.xls" TargetMode="External" /><Relationship Id="rId4" Type="http://schemas.openxmlformats.org/officeDocument/2006/relationships/hyperlink" Target="../lohnsteuer2013_netto.xls" TargetMode="External" /><Relationship Id="rId5" Type="http://schemas.openxmlformats.org/officeDocument/2006/relationships/hyperlink" Target="http://www.parmentier.de/steuer/lohnsteuer2015_netto.xls" TargetMode="External" /><Relationship Id="rId6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selection activeCell="C27" sqref="C27:E27"/>
    </sheetView>
  </sheetViews>
  <sheetFormatPr defaultColWidth="11.421875" defaultRowHeight="12.75"/>
  <cols>
    <col min="1" max="1" width="64.7109375" style="0" bestFit="1" customWidth="1"/>
    <col min="2" max="2" width="12.140625" style="0" bestFit="1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2.71093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</cols>
  <sheetData>
    <row r="1" spans="1:5" ht="18.75" customHeight="1" thickBot="1">
      <c r="A1" s="48" t="str">
        <f>"Lohnsteuerberechnung "&amp;BearbJahr&amp;" mit Zellfunktionen"</f>
        <v>Lohnsteuerberechnung 2021 mit Zellfunktionen</v>
      </c>
      <c r="B1" s="49"/>
      <c r="C1" s="50"/>
      <c r="D1" s="50"/>
      <c r="E1" s="50"/>
    </row>
    <row r="2" spans="1:6" ht="16.5" thickTop="1">
      <c r="A2" s="16" t="s">
        <v>41</v>
      </c>
      <c r="B2" s="17">
        <v>2500</v>
      </c>
      <c r="C2" s="18" t="s">
        <v>42</v>
      </c>
      <c r="D2" s="7"/>
      <c r="E2" s="157" t="s">
        <v>89</v>
      </c>
      <c r="F2" s="5"/>
    </row>
    <row r="3" spans="1:5" ht="15.75">
      <c r="A3" s="19" t="s">
        <v>99</v>
      </c>
      <c r="B3" s="20">
        <v>2</v>
      </c>
      <c r="C3" s="21"/>
      <c r="D3" s="7"/>
      <c r="E3" s="158"/>
    </row>
    <row r="4" spans="1:5" ht="15.75">
      <c r="A4" s="19" t="s">
        <v>43</v>
      </c>
      <c r="B4" s="20">
        <v>1</v>
      </c>
      <c r="C4" s="22"/>
      <c r="D4" s="7"/>
      <c r="E4" s="158"/>
    </row>
    <row r="5" spans="1:5" ht="15.75">
      <c r="A5" s="23" t="s">
        <v>74</v>
      </c>
      <c r="B5" s="24">
        <v>0</v>
      </c>
      <c r="C5" s="22"/>
      <c r="D5" s="7"/>
      <c r="E5" s="159"/>
    </row>
    <row r="6" spans="1:5" ht="15.75">
      <c r="A6" s="19" t="s">
        <v>100</v>
      </c>
      <c r="B6" s="20">
        <v>0</v>
      </c>
      <c r="C6" s="22"/>
      <c r="D6" s="7"/>
      <c r="E6" s="159"/>
    </row>
    <row r="7" spans="1:5" ht="15.75">
      <c r="A7" s="19" t="s">
        <v>75</v>
      </c>
      <c r="B7" s="20">
        <v>0</v>
      </c>
      <c r="C7" s="21"/>
      <c r="D7" s="7"/>
      <c r="E7" s="159"/>
    </row>
    <row r="8" spans="1:5" ht="15.75">
      <c r="A8" s="19" t="s">
        <v>44</v>
      </c>
      <c r="B8" s="20">
        <v>9</v>
      </c>
      <c r="C8" s="21" t="s">
        <v>45</v>
      </c>
      <c r="D8" s="7"/>
      <c r="E8" s="93"/>
    </row>
    <row r="9" spans="1:5" ht="15.75">
      <c r="A9" s="107" t="s">
        <v>110</v>
      </c>
      <c r="B9" s="108">
        <v>14.6</v>
      </c>
      <c r="C9" s="109" t="s">
        <v>45</v>
      </c>
      <c r="D9" s="7"/>
      <c r="E9" s="166" t="s">
        <v>113</v>
      </c>
    </row>
    <row r="10" spans="1:5" ht="15.75">
      <c r="A10" s="107" t="s">
        <v>76</v>
      </c>
      <c r="B10" s="108">
        <v>1.1</v>
      </c>
      <c r="C10" s="109" t="s">
        <v>45</v>
      </c>
      <c r="D10" s="8"/>
      <c r="E10" s="167"/>
    </row>
    <row r="11" spans="1:5" ht="15.75">
      <c r="A11" s="107" t="s">
        <v>112</v>
      </c>
      <c r="B11" s="111">
        <v>1</v>
      </c>
      <c r="C11" s="109"/>
      <c r="D11" s="8"/>
      <c r="E11" s="167"/>
    </row>
    <row r="12" spans="1:5" ht="15.75">
      <c r="A12" s="19" t="s">
        <v>77</v>
      </c>
      <c r="B12" s="20">
        <v>0</v>
      </c>
      <c r="C12" s="21"/>
      <c r="D12" s="8"/>
      <c r="E12" s="167"/>
    </row>
    <row r="13" spans="1:5" ht="15.75">
      <c r="A13" s="19" t="s">
        <v>78</v>
      </c>
      <c r="B13" s="20">
        <v>0</v>
      </c>
      <c r="C13" s="21"/>
      <c r="D13" s="7"/>
      <c r="E13" s="168"/>
    </row>
    <row r="14" spans="1:5" ht="15.75">
      <c r="A14" s="19" t="s">
        <v>79</v>
      </c>
      <c r="B14" s="20">
        <v>0</v>
      </c>
      <c r="C14" s="21"/>
      <c r="D14" s="7"/>
      <c r="E14" s="168"/>
    </row>
    <row r="15" spans="1:5" s="98" customFormat="1" ht="16.5">
      <c r="A15" s="96" t="s">
        <v>101</v>
      </c>
      <c r="B15" s="20">
        <v>0</v>
      </c>
      <c r="C15" s="21"/>
      <c r="D15" s="97"/>
      <c r="E15" s="168"/>
    </row>
    <row r="16" spans="1:5" ht="15.75">
      <c r="A16" s="25" t="s">
        <v>49</v>
      </c>
      <c r="B16" s="26">
        <v>0</v>
      </c>
      <c r="C16" s="27" t="s">
        <v>42</v>
      </c>
      <c r="D16" s="6"/>
      <c r="E16" s="168"/>
    </row>
    <row r="17" spans="1:5" ht="16.5" thickBot="1">
      <c r="A17" s="28" t="s">
        <v>46</v>
      </c>
      <c r="B17" s="29">
        <v>0</v>
      </c>
      <c r="C17" s="30" t="s">
        <v>42</v>
      </c>
      <c r="D17" s="6"/>
      <c r="E17" s="168"/>
    </row>
    <row r="18" spans="1:5" ht="15.75">
      <c r="A18" s="31" t="s">
        <v>29</v>
      </c>
      <c r="B18" s="32">
        <f>Berechnung!C54/100</f>
        <v>276.41</v>
      </c>
      <c r="C18" s="33" t="s">
        <v>42</v>
      </c>
      <c r="D18" s="9"/>
      <c r="E18" s="94"/>
    </row>
    <row r="19" spans="1:5" ht="15.75">
      <c r="A19" s="31" t="s">
        <v>30</v>
      </c>
      <c r="B19" s="32">
        <f>Berechnung!C66/100</f>
        <v>0</v>
      </c>
      <c r="C19" s="33" t="s">
        <v>42</v>
      </c>
      <c r="D19" s="8"/>
      <c r="E19" s="165" t="s">
        <v>90</v>
      </c>
    </row>
    <row r="20" spans="1:5" ht="15.75">
      <c r="A20" s="34" t="s">
        <v>31</v>
      </c>
      <c r="B20" s="35">
        <f>ROUNDDOWN(Berechnung!C68*B8/10000,2)</f>
        <v>24.87</v>
      </c>
      <c r="C20" s="36" t="s">
        <v>42</v>
      </c>
      <c r="D20" s="8"/>
      <c r="E20" s="158"/>
    </row>
    <row r="21" spans="1:6" ht="15.75">
      <c r="A21" s="37" t="s">
        <v>117</v>
      </c>
      <c r="B21" s="38">
        <f>IF(B6=0,ROUND(IF(B3=1,IF(B2&gt;Berechnung!C9,Berechnung!C9,B2),IF(B3=2,IF(B2&gt;(Berechnung!C9/12),(Berechnung!C9/12),B2),IF(B3=3,IF(B2&gt;(Berechnung!C9/360*7),(Berechnung!C9/360*7),B2),IF(B2&gt;(Berechnung!C9/360),(Berechnung!C9/360),B2))))*0.093,2),0)</f>
        <v>232.5</v>
      </c>
      <c r="C21" s="39" t="s">
        <v>42</v>
      </c>
      <c r="D21" s="8"/>
      <c r="E21" s="158"/>
      <c r="F21" s="3"/>
    </row>
    <row r="22" spans="1:5" ht="15.75">
      <c r="A22" s="37" t="str">
        <f>IF(B9=0,"Privat Krankenversichert ohne Nachweis",IF(B9&gt;20,"Basisprämie KV, AG-Anteil abgezogen",(B9+B10)/2&amp;" % Krankenversicherungsbeitrag"))</f>
        <v>7,85 % Krankenversicherungsbeitrag</v>
      </c>
      <c r="B22" s="40">
        <f>IF(B9&gt;20,IF(B11=0,B9*Berechnung!$C$69,MAX(B9/2*Berechnung!$C$69,(B9-(Berechnung!G11*Berechnung!F17/12))*Berechnung!$C$69)),IF(B9=0,0,ROUND(IF(B3=1,IF(B2&gt;Berechnung!F17,Berechnung!F17,B2),IF(B3=2,IF(B2&gt;(Berechnung!F17/12),(Berechnung!F17/12),B2),IF(B3=3,IF(B2&gt;(Berechnung!F17/360*7),(Berechnung!F17/360*7),B2),IF(B2&gt;(Berechnung!F17/360),(Berechnung!F17/360),B2))))*((B9+B10)/2*0.01),2)))</f>
        <v>196.25</v>
      </c>
      <c r="C22" s="41" t="s">
        <v>42</v>
      </c>
      <c r="D22" s="8"/>
      <c r="E22" s="158"/>
    </row>
    <row r="23" spans="1:5" ht="15.75">
      <c r="A23" s="37" t="str">
        <f>IF(B14=1,2.025,1.525)+IF(B12=1,0.25,0)&amp;"% Pflegeversicherung"</f>
        <v>1,525% Pflegeversicherung</v>
      </c>
      <c r="B23" s="42">
        <f>IF(B9&gt;20,0,IF(B9=0,0,ROUND(IF(B3=1,IF(B2&gt;Berechnung!F17,Berechnung!F17,B2),IF(B3=2,IF(B2&gt;(Berechnung!F17/12),(Berechnung!F17/12),B2),IF(B3=3,IF(B2&gt;(Berechnung!F17/360*7),(Berechnung!F17/360*7),B2),IF(B2&gt;(Berechnung!F17/360),(Berechnung!F17/360),B2)))),2)))*Berechnung!C11</f>
        <v>38.13</v>
      </c>
      <c r="C23" s="41" t="s">
        <v>42</v>
      </c>
      <c r="D23" s="8"/>
      <c r="E23" s="4"/>
    </row>
    <row r="24" spans="1:5" ht="15.75">
      <c r="A24" s="37" t="s">
        <v>120</v>
      </c>
      <c r="B24" s="42">
        <f>IF(B6=0,ROUND(IF(B3=1,IF(B2&gt;Berechnung!C9,Berechnung!C9,B2),IF(B3=2,IF(B2&gt;(Berechnung!C9/12),(Berechnung!C9/12),B2),IF(B3=3,IF(B2&gt;(Berechnung!C9/360*7),(Berechnung!C9/360*7),B2),IF(B2&gt;(Berechnung!C9/360),(Berechnung!C9/360),B2))))*Berechnung!G6,2),0)</f>
        <v>30</v>
      </c>
      <c r="C24" s="41" t="s">
        <v>42</v>
      </c>
      <c r="D24" s="8"/>
      <c r="E24" s="4"/>
    </row>
    <row r="25" spans="1:5" ht="15.75">
      <c r="A25" s="15" t="s">
        <v>47</v>
      </c>
      <c r="B25" s="43">
        <f>SUM(B18:B24)</f>
        <v>798.16</v>
      </c>
      <c r="C25" s="44" t="s">
        <v>42</v>
      </c>
      <c r="D25" s="8"/>
      <c r="E25" s="51"/>
    </row>
    <row r="26" spans="1:5" ht="18">
      <c r="A26" s="11" t="s">
        <v>48</v>
      </c>
      <c r="B26" s="12">
        <f>SUM(B2,-B25)</f>
        <v>1701.84</v>
      </c>
      <c r="C26" s="13" t="s">
        <v>42</v>
      </c>
      <c r="D26" s="10"/>
      <c r="E26" s="95" t="s">
        <v>129</v>
      </c>
    </row>
    <row r="27" spans="1:5" ht="12.75">
      <c r="A27" s="164" t="s">
        <v>54</v>
      </c>
      <c r="B27" s="164"/>
      <c r="C27" s="160" t="s">
        <v>118</v>
      </c>
      <c r="D27" s="160"/>
      <c r="E27" s="160"/>
    </row>
    <row r="28" spans="1:5" ht="12.75">
      <c r="A28" s="161" t="s">
        <v>62</v>
      </c>
      <c r="B28" s="162"/>
      <c r="C28" s="163" t="s">
        <v>63</v>
      </c>
      <c r="D28" s="163"/>
      <c r="E28" s="163"/>
    </row>
    <row r="37" ht="12.75">
      <c r="O37" s="47"/>
    </row>
    <row r="38" ht="12.75">
      <c r="O38" s="47"/>
    </row>
    <row r="39" ht="12.75">
      <c r="O39" s="47"/>
    </row>
    <row r="40" ht="12.75">
      <c r="O40" s="47"/>
    </row>
    <row r="41" ht="12.75">
      <c r="O41" s="47"/>
    </row>
    <row r="42" ht="12.75">
      <c r="O42" s="47"/>
    </row>
    <row r="43" ht="12.75">
      <c r="O43" s="47"/>
    </row>
  </sheetData>
  <sheetProtection/>
  <mergeCells count="7">
    <mergeCell ref="E2:E7"/>
    <mergeCell ref="C27:E27"/>
    <mergeCell ref="A28:B28"/>
    <mergeCell ref="C28:E28"/>
    <mergeCell ref="A27:B27"/>
    <mergeCell ref="E19:E22"/>
    <mergeCell ref="E9:E17"/>
  </mergeCells>
  <conditionalFormatting sqref="B15">
    <cfRule type="cellIs" priority="1" dxfId="0" operator="between" stopIfTrue="1">
      <formula>0</formula>
      <formula>5</formula>
    </cfRule>
  </conditionalFormatting>
  <dataValidations count="13">
    <dataValidation type="list" allowBlank="1" showInputMessage="1" showErrorMessage="1" sqref="B4">
      <formula1>"1,2,3,4,5,6"</formula1>
    </dataValidation>
    <dataValidation type="list" operator="notBetween" allowBlank="1" showInputMessage="1" showErrorMessage="1" promptTitle="Kirchensteuer" prompt="Die Kirchensteuer beträgt in Bayern und Baden-Württemberg 8%, sonst 9%" sqref="B8">
      <formula1>"0,8,9"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9"/>
    <dataValidation type="list" allowBlank="1" showInputMessage="1" showErrorMessage="1" promptTitle="Sonderabgabe Pflegeversicherung" prompt="Über 23jährige, die kein Elterteil sind, zahlen 0,25% mehr in die Pflegeversicherung" sqref="B12">
      <formula1>"0,1"</formula1>
    </dataValidation>
    <dataValidation type="list" allowBlank="1" showInputMessage="1" showErrorMessage="1" promptTitle="Bemessungsgrenze Sozialversicher" prompt="Die Bemessungsgrenzen der Rentenversicherung unterscheidet sich in den neuen und alten Bundesländern." sqref="B13">
      <formula1>"0,1"</formula1>
    </dataValidation>
    <dataValidation type="list" allowBlank="1" showInputMessage="1" showErrorMessage="1" promptTitle="Pflegeversicherung in Sachsen" prompt="Sachsen bezahlen auch 0,5% mehr für die Pflegeversicherung. Dafür haben sie den Buß- und Bettag als Feiertag behalten." sqref="B14">
      <formula1>"0,1"</formula1>
    </dataValidation>
    <dataValidation allowBlank="1" showInputMessage="1" showErrorMessage="1" promptTitle="Krankenkassenzusatzbeitragssatz" prompt="Der Krankenkassenzusatzbeitragssatz, den der Arbeitnehmer und der Arbeitgeber seit 2019 wieder jeweils zur Hälfte zu tragen haben, wird seit 2014 von jeder Krankenkasse selbst festgelegt." sqref="B10"/>
    <dataValidation type="list" allowBlank="1" showInputMessage="1" showErrorMessage="1" sqref="B3">
      <formula1>"1,2,3,4"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6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1952=13, 1953=14; 1954=15, 1955=16, 1956=17, nach 1956=0" sqref="B15">
      <formula1>"0,1,2,3,4,5,6,7,8,9,10,11,12,13,14,15,16,17"</formula1>
    </dataValidation>
    <dataValidation type="list" allowBlank="1" showInputMessage="1" showErrorMessage="1" sqref="B11">
      <formula1>"0,1"</formula1>
    </dataValidation>
  </dataValidations>
  <hyperlinks>
    <hyperlink ref="C28:E28" r:id="rId1" display="parmentier.ffm@t-online.de"/>
    <hyperlink ref="C28" r:id="rId2" display="steuer@parmentier.de"/>
    <hyperlink ref="C29" r:id="rId3" display="http://www.parmentier.de/steuer/lohnsteuer2016.xls"/>
    <hyperlink ref="C30:E30" r:id="rId4" display="http://www.parmentier.de/steuer/lohnsteuer2013_netto.xls"/>
    <hyperlink ref="C30" r:id="rId5" display="http://www.parmentier.de/steuer/lohnsteuer2015_netto.xls"/>
    <hyperlink ref="C27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5" zoomScaleNormal="85" zoomScalePageLayoutView="0" workbookViewId="0" topLeftCell="A1">
      <selection activeCell="F5" sqref="F5"/>
    </sheetView>
  </sheetViews>
  <sheetFormatPr defaultColWidth="11.421875" defaultRowHeight="12.75"/>
  <cols>
    <col min="5" max="5" width="18.421875" style="0" bestFit="1" customWidth="1"/>
  </cols>
  <sheetData>
    <row r="1" spans="1:13" ht="27" thickBot="1">
      <c r="A1" s="60" t="s">
        <v>98</v>
      </c>
      <c r="B1" s="61">
        <v>2021</v>
      </c>
      <c r="C1" s="62"/>
      <c r="E1" s="55" t="str">
        <f>"SOZ-VS-BEITRAGSSÄTZE  "&amp;BearbJahr</f>
        <v>SOZ-VS-BEITRAGSSÄTZE  2021</v>
      </c>
      <c r="F1" s="45"/>
      <c r="G1" s="46"/>
      <c r="I1" s="169" t="s">
        <v>101</v>
      </c>
      <c r="J1" s="170"/>
      <c r="K1" s="170"/>
      <c r="L1" s="170"/>
      <c r="M1" s="170"/>
    </row>
    <row r="2" spans="1:13" ht="15.75" thickBot="1">
      <c r="A2" s="63" t="s">
        <v>73</v>
      </c>
      <c r="B2" s="64" t="s">
        <v>3</v>
      </c>
      <c r="C2" s="73">
        <f>IF(Eingabe!B4&gt;4,0,Eingabe!B7)</f>
        <v>0</v>
      </c>
      <c r="E2" s="115" t="s">
        <v>86</v>
      </c>
      <c r="F2" s="57" t="s">
        <v>96</v>
      </c>
      <c r="G2" s="58" t="s">
        <v>91</v>
      </c>
      <c r="I2" s="116" t="s">
        <v>121</v>
      </c>
      <c r="J2" s="116" t="s">
        <v>122</v>
      </c>
      <c r="K2" s="116" t="s">
        <v>123</v>
      </c>
      <c r="L2" s="116" t="s">
        <v>103</v>
      </c>
      <c r="M2" s="116" t="s">
        <v>104</v>
      </c>
    </row>
    <row r="3" spans="1:13" ht="12.75">
      <c r="A3" s="65"/>
      <c r="B3" s="66" t="s">
        <v>1</v>
      </c>
      <c r="C3" s="74">
        <f>Eingabe!B3</f>
        <v>2</v>
      </c>
      <c r="E3" s="117" t="s">
        <v>80</v>
      </c>
      <c r="F3" s="118">
        <v>0.146</v>
      </c>
      <c r="G3" s="119">
        <f>F3/2+F4</f>
        <v>0.084</v>
      </c>
      <c r="I3" s="120"/>
      <c r="J3" s="120"/>
      <c r="K3" s="120">
        <v>0</v>
      </c>
      <c r="L3" s="120">
        <v>0</v>
      </c>
      <c r="M3" s="120">
        <v>0</v>
      </c>
    </row>
    <row r="4" spans="1:13" ht="12.75">
      <c r="A4" s="65"/>
      <c r="B4" s="66" t="s">
        <v>0</v>
      </c>
      <c r="C4" s="74">
        <f>Eingabe!B6</f>
        <v>0</v>
      </c>
      <c r="E4" s="121" t="s">
        <v>81</v>
      </c>
      <c r="F4" s="122">
        <f>Eingabe!B10/100</f>
        <v>0.011</v>
      </c>
      <c r="G4" s="119">
        <f>F4/2+0.07</f>
        <v>0.0755</v>
      </c>
      <c r="I4" s="123" t="s">
        <v>124</v>
      </c>
      <c r="J4" s="123" t="s">
        <v>125</v>
      </c>
      <c r="K4" s="120">
        <v>1</v>
      </c>
      <c r="L4" s="120">
        <v>0.4</v>
      </c>
      <c r="M4" s="120">
        <v>1900</v>
      </c>
    </row>
    <row r="5" spans="1:13" ht="12.75">
      <c r="A5" s="65"/>
      <c r="B5" s="66" t="s">
        <v>55</v>
      </c>
      <c r="C5" s="75">
        <f>ROUNDDOWN(IF(C3=1,Eingabe!B2*100,IF(C3=2,(Eingabe!B2*100)*12,IF(C3=3,((Eingabe!B2*100)*360)/7,(Eingabe!B2*100)*360))),2)</f>
        <v>3000000</v>
      </c>
      <c r="E5" s="117" t="s">
        <v>82</v>
      </c>
      <c r="F5" s="124">
        <v>0.186</v>
      </c>
      <c r="G5" s="119">
        <f>F5/2</f>
        <v>0.093</v>
      </c>
      <c r="I5" s="120">
        <v>1941</v>
      </c>
      <c r="J5" s="120">
        <v>2006</v>
      </c>
      <c r="K5" s="120">
        <v>2</v>
      </c>
      <c r="L5" s="120">
        <v>0.384</v>
      </c>
      <c r="M5" s="120">
        <v>1824</v>
      </c>
    </row>
    <row r="6" spans="1:13" ht="12.75">
      <c r="A6" s="65"/>
      <c r="B6" s="66" t="s">
        <v>2</v>
      </c>
      <c r="C6" s="76">
        <f>Eingabe!B4</f>
        <v>1</v>
      </c>
      <c r="E6" s="121" t="s">
        <v>83</v>
      </c>
      <c r="F6" s="122">
        <v>0.024</v>
      </c>
      <c r="G6" s="119">
        <f>F6/2</f>
        <v>0.012</v>
      </c>
      <c r="I6" s="120">
        <v>1942</v>
      </c>
      <c r="J6" s="120">
        <v>2007</v>
      </c>
      <c r="K6" s="120">
        <v>3</v>
      </c>
      <c r="L6" s="120">
        <v>0.368</v>
      </c>
      <c r="M6" s="120">
        <v>1748</v>
      </c>
    </row>
    <row r="7" spans="1:13" ht="12.75">
      <c r="A7" s="65"/>
      <c r="B7" s="66" t="s">
        <v>56</v>
      </c>
      <c r="C7" s="77">
        <f>IF(C6=6,0,Eingabe!B16*100)</f>
        <v>0</v>
      </c>
      <c r="E7" s="121" t="s">
        <v>84</v>
      </c>
      <c r="F7" s="122">
        <v>0.0305</v>
      </c>
      <c r="G7" s="119">
        <f>IF(AND(Eingabe!B12=1,Eingabe!B14=1),F8+F9,IF(Eingabe!B14=1,F8,IF(AND(Eingabe!B7=0,Eingabe!B12=1),F7/2+F9,F7/2)))</f>
        <v>0.01525</v>
      </c>
      <c r="H7" s="47" t="s">
        <v>97</v>
      </c>
      <c r="I7" s="120">
        <v>1943</v>
      </c>
      <c r="J7" s="120">
        <v>2008</v>
      </c>
      <c r="K7" s="120">
        <v>4</v>
      </c>
      <c r="L7" s="120">
        <v>0.352</v>
      </c>
      <c r="M7" s="120">
        <v>1672</v>
      </c>
    </row>
    <row r="8" spans="1:13" ht="12.75">
      <c r="A8" s="65"/>
      <c r="B8" s="66" t="s">
        <v>57</v>
      </c>
      <c r="C8" s="78">
        <f>Eingabe!B17*100</f>
        <v>0</v>
      </c>
      <c r="E8" s="121" t="s">
        <v>85</v>
      </c>
      <c r="F8" s="118">
        <v>0.02025</v>
      </c>
      <c r="G8" s="113"/>
      <c r="I8" s="120">
        <v>1944</v>
      </c>
      <c r="J8" s="120">
        <v>2009</v>
      </c>
      <c r="K8" s="120">
        <v>5</v>
      </c>
      <c r="L8" s="120">
        <v>0.336</v>
      </c>
      <c r="M8" s="120">
        <v>1596</v>
      </c>
    </row>
    <row r="9" spans="1:13" ht="12.75">
      <c r="A9" s="65"/>
      <c r="B9" s="67" t="s">
        <v>64</v>
      </c>
      <c r="C9" s="79">
        <f>IF(Eingabe!B13=0,F15,F16)</f>
        <v>85200</v>
      </c>
      <c r="E9" s="121" t="s">
        <v>85</v>
      </c>
      <c r="F9" s="118">
        <v>0.0025</v>
      </c>
      <c r="G9" s="114"/>
      <c r="H9" s="47"/>
      <c r="I9" s="120">
        <v>1945</v>
      </c>
      <c r="J9" s="120">
        <v>2010</v>
      </c>
      <c r="K9" s="120">
        <v>6</v>
      </c>
      <c r="L9" s="120">
        <v>0.32</v>
      </c>
      <c r="M9" s="120">
        <v>1520</v>
      </c>
    </row>
    <row r="10" spans="1:13" ht="12.75">
      <c r="A10" s="65"/>
      <c r="B10" s="106" t="s">
        <v>111</v>
      </c>
      <c r="C10" s="79">
        <f>IF(Eingabe!$B$9&gt;20,MAX($C$31,ROUNDDOWN(Eingabe!$B$9*12,2)-IF(Eingabe!$B$11=1,IF(Eingabe!$B$13=1,SUM(F11,F7,-F8),SUM(F11,F7/2))*MIN(C5/100,F17),0)),0)</f>
        <v>0</v>
      </c>
      <c r="E10" s="121" t="s">
        <v>126</v>
      </c>
      <c r="F10" s="118">
        <v>0.013</v>
      </c>
      <c r="G10" s="114"/>
      <c r="I10" s="120">
        <v>1946</v>
      </c>
      <c r="J10" s="120">
        <v>2011</v>
      </c>
      <c r="K10" s="120">
        <v>7</v>
      </c>
      <c r="L10" s="120">
        <v>0.304</v>
      </c>
      <c r="M10" s="120">
        <v>1444</v>
      </c>
    </row>
    <row r="11" spans="1:13" ht="12.75">
      <c r="A11" s="68"/>
      <c r="B11" s="66" t="s">
        <v>60</v>
      </c>
      <c r="C11" s="80">
        <f>IF(AND(Eingabe!B12=1,Eingabe!B14=1),F8+F9,IF(Eingabe!B14=1,F8,IF(AND(Eingabe!B7=0,Eingabe!B12=1),F7/2+F9,F7/2)))</f>
        <v>0.01525</v>
      </c>
      <c r="E11" s="125" t="s">
        <v>114</v>
      </c>
      <c r="F11" s="110">
        <v>0.0765</v>
      </c>
      <c r="G11" s="113">
        <f>F3/2+F7-G7+F10/2</f>
        <v>0.09475</v>
      </c>
      <c r="H11" t="s">
        <v>119</v>
      </c>
      <c r="I11" s="120">
        <v>1947</v>
      </c>
      <c r="J11" s="120">
        <v>2012</v>
      </c>
      <c r="K11" s="120">
        <v>8</v>
      </c>
      <c r="L11" s="120">
        <v>0.288</v>
      </c>
      <c r="M11" s="120">
        <v>1368</v>
      </c>
    </row>
    <row r="12" spans="1:13" ht="12.75">
      <c r="A12" s="65"/>
      <c r="B12" s="66" t="s">
        <v>61</v>
      </c>
      <c r="C12" s="81">
        <f>IF(OR(OR(Eingabe!B5=0,Eingabe!B5&gt;1),Eingabe!B4&lt;&gt;4),1,Eingabe!B5)</f>
        <v>1</v>
      </c>
      <c r="E12" s="47"/>
      <c r="F12" s="47"/>
      <c r="G12" s="47"/>
      <c r="I12" s="120">
        <v>1948</v>
      </c>
      <c r="J12" s="120">
        <v>2013</v>
      </c>
      <c r="K12" s="120">
        <v>9</v>
      </c>
      <c r="L12" s="120">
        <v>0.272</v>
      </c>
      <c r="M12" s="120">
        <v>1292</v>
      </c>
    </row>
    <row r="13" spans="1:13" s="1" customFormat="1" ht="16.5">
      <c r="A13" s="99" t="s">
        <v>102</v>
      </c>
      <c r="B13" s="103" t="s">
        <v>103</v>
      </c>
      <c r="C13" s="82">
        <f>VLOOKUP(Eingabe!B15,K3:L20,2,FALSE)</f>
        <v>0</v>
      </c>
      <c r="D13" s="100"/>
      <c r="E13" s="56" t="s">
        <v>92</v>
      </c>
      <c r="F13" s="53"/>
      <c r="G13" s="54"/>
      <c r="H13"/>
      <c r="I13" s="120">
        <v>1949</v>
      </c>
      <c r="J13" s="120">
        <v>2014</v>
      </c>
      <c r="K13" s="120">
        <v>10</v>
      </c>
      <c r="L13" s="120">
        <v>0.256</v>
      </c>
      <c r="M13" s="120">
        <v>1216</v>
      </c>
    </row>
    <row r="14" spans="1:13" s="1" customFormat="1" ht="15.75" thickBot="1">
      <c r="A14" s="101"/>
      <c r="B14" s="1" t="s">
        <v>104</v>
      </c>
      <c r="C14" s="156">
        <f>VLOOKUP(Eingabe!B15,K3:M20,3,FALSE)*100</f>
        <v>0</v>
      </c>
      <c r="D14" s="100"/>
      <c r="E14" s="126" t="s">
        <v>94</v>
      </c>
      <c r="F14" s="59" t="s">
        <v>93</v>
      </c>
      <c r="G14" s="126" t="s">
        <v>95</v>
      </c>
      <c r="H14"/>
      <c r="I14" s="120">
        <v>1950</v>
      </c>
      <c r="J14" s="120">
        <v>2015</v>
      </c>
      <c r="K14" s="120">
        <v>11</v>
      </c>
      <c r="L14" s="127">
        <v>0.24</v>
      </c>
      <c r="M14" s="127">
        <v>1140</v>
      </c>
    </row>
    <row r="15" spans="2:13" s="1" customFormat="1" ht="13.5" thickTop="1">
      <c r="B15" s="1" t="s">
        <v>105</v>
      </c>
      <c r="C15" s="74">
        <f>C14</f>
        <v>0</v>
      </c>
      <c r="D15" s="100"/>
      <c r="E15" s="117" t="s">
        <v>64</v>
      </c>
      <c r="F15" s="128">
        <v>85200</v>
      </c>
      <c r="G15" s="129" t="s">
        <v>73</v>
      </c>
      <c r="H15"/>
      <c r="I15" s="120">
        <v>1951</v>
      </c>
      <c r="J15" s="120">
        <v>2016</v>
      </c>
      <c r="K15" s="120">
        <v>12</v>
      </c>
      <c r="L15" s="127">
        <v>0.224</v>
      </c>
      <c r="M15" s="127">
        <v>1064</v>
      </c>
    </row>
    <row r="16" spans="2:13" s="1" customFormat="1" ht="12.75">
      <c r="B16" s="1" t="s">
        <v>106</v>
      </c>
      <c r="C16" s="74">
        <f>IF(Eingabe!B15=0,0,IF((C5*C13)&gt;C15,C15,C5*C13))</f>
        <v>0</v>
      </c>
      <c r="D16" s="100"/>
      <c r="E16" s="117" t="s">
        <v>64</v>
      </c>
      <c r="F16" s="130">
        <v>80400</v>
      </c>
      <c r="G16" s="131"/>
      <c r="H16"/>
      <c r="I16" s="120">
        <v>1952</v>
      </c>
      <c r="J16" s="120">
        <v>2017</v>
      </c>
      <c r="K16" s="120">
        <v>13</v>
      </c>
      <c r="L16" s="127">
        <v>0.208</v>
      </c>
      <c r="M16" s="127">
        <v>988</v>
      </c>
    </row>
    <row r="17" spans="2:13" s="1" customFormat="1" ht="12.75">
      <c r="B17" s="1" t="s">
        <v>107</v>
      </c>
      <c r="C17" s="83">
        <f>C5-C8+C7-C16</f>
        <v>3000000</v>
      </c>
      <c r="D17" s="100"/>
      <c r="E17" s="117" t="s">
        <v>69</v>
      </c>
      <c r="F17" s="128">
        <v>58050</v>
      </c>
      <c r="G17" s="131"/>
      <c r="H17"/>
      <c r="I17" s="120">
        <v>1953</v>
      </c>
      <c r="J17" s="120">
        <v>2018</v>
      </c>
      <c r="K17" s="120">
        <v>14</v>
      </c>
      <c r="L17" s="127">
        <v>0.192</v>
      </c>
      <c r="M17" s="127">
        <v>912</v>
      </c>
    </row>
    <row r="18" spans="2:13" s="1" customFormat="1" ht="12.75">
      <c r="B18" s="1" t="s">
        <v>28</v>
      </c>
      <c r="C18" s="83">
        <f>C5</f>
        <v>3000000</v>
      </c>
      <c r="D18" s="100"/>
      <c r="E18" s="121" t="s">
        <v>70</v>
      </c>
      <c r="F18" s="132">
        <v>0.0765</v>
      </c>
      <c r="G18" s="131"/>
      <c r="H18"/>
      <c r="I18" s="120">
        <v>1954</v>
      </c>
      <c r="J18" s="120">
        <v>2019</v>
      </c>
      <c r="K18" s="120">
        <v>15</v>
      </c>
      <c r="L18" s="127">
        <v>0.176</v>
      </c>
      <c r="M18" s="127">
        <v>836</v>
      </c>
    </row>
    <row r="19" spans="3:13" s="1" customFormat="1" ht="12.75">
      <c r="C19" s="74"/>
      <c r="D19" s="100"/>
      <c r="E19" s="133" t="s">
        <v>72</v>
      </c>
      <c r="F19" s="134">
        <v>0.84</v>
      </c>
      <c r="G19" s="131"/>
      <c r="H19"/>
      <c r="I19" s="120">
        <v>1955</v>
      </c>
      <c r="J19" s="120">
        <v>2020</v>
      </c>
      <c r="K19" s="120">
        <v>16</v>
      </c>
      <c r="L19" s="127">
        <v>0.16</v>
      </c>
      <c r="M19" s="127">
        <v>760</v>
      </c>
    </row>
    <row r="20" spans="1:13" s="1" customFormat="1" ht="12.75">
      <c r="A20" s="99" t="s">
        <v>108</v>
      </c>
      <c r="B20" s="102" t="s">
        <v>107</v>
      </c>
      <c r="C20" s="82">
        <f>C17/100</f>
        <v>30000</v>
      </c>
      <c r="D20" s="100"/>
      <c r="E20" s="135" t="s">
        <v>66</v>
      </c>
      <c r="F20" s="136">
        <v>11237</v>
      </c>
      <c r="G20" s="131"/>
      <c r="H20"/>
      <c r="I20" s="120">
        <v>1956</v>
      </c>
      <c r="J20" s="120">
        <v>2021</v>
      </c>
      <c r="K20" s="120">
        <v>17</v>
      </c>
      <c r="L20" s="127">
        <v>0.152</v>
      </c>
      <c r="M20" s="127">
        <v>722</v>
      </c>
    </row>
    <row r="21" spans="2:13" s="1" customFormat="1" ht="12.75">
      <c r="B21" s="1" t="s">
        <v>28</v>
      </c>
      <c r="C21" s="74">
        <f>C18/100</f>
        <v>30000</v>
      </c>
      <c r="D21" s="100"/>
      <c r="E21" s="135" t="s">
        <v>67</v>
      </c>
      <c r="F21" s="136">
        <v>28959</v>
      </c>
      <c r="G21" s="131"/>
      <c r="H21"/>
      <c r="I21">
        <v>1957</v>
      </c>
      <c r="J21">
        <v>2022</v>
      </c>
      <c r="K21">
        <v>18</v>
      </c>
      <c r="L21" s="137">
        <v>0.144</v>
      </c>
      <c r="M21" s="137">
        <v>684</v>
      </c>
    </row>
    <row r="22" spans="3:13" s="1" customFormat="1" ht="12.75">
      <c r="C22" s="74"/>
      <c r="D22" s="100"/>
      <c r="E22" s="135" t="s">
        <v>68</v>
      </c>
      <c r="F22" s="136">
        <v>219690</v>
      </c>
      <c r="G22" s="131"/>
      <c r="H22"/>
      <c r="I22">
        <v>1958</v>
      </c>
      <c r="J22">
        <v>2023</v>
      </c>
      <c r="K22">
        <v>19</v>
      </c>
      <c r="L22" s="137">
        <v>0.136</v>
      </c>
      <c r="M22" s="137">
        <v>646</v>
      </c>
    </row>
    <row r="23" spans="1:13" ht="12.75">
      <c r="A23" s="69" t="s">
        <v>5</v>
      </c>
      <c r="B23" s="70" t="s">
        <v>6</v>
      </c>
      <c r="C23" s="82">
        <f>IF(C6=3,2,1)</f>
        <v>1</v>
      </c>
      <c r="E23" s="135" t="s">
        <v>71</v>
      </c>
      <c r="F23" s="136">
        <v>9744</v>
      </c>
      <c r="G23" s="131"/>
      <c r="I23">
        <v>1959</v>
      </c>
      <c r="J23">
        <v>2024</v>
      </c>
      <c r="K23">
        <v>20</v>
      </c>
      <c r="L23" s="137">
        <v>0.128</v>
      </c>
      <c r="M23" s="137">
        <v>608</v>
      </c>
    </row>
    <row r="24" spans="1:13" ht="13.5" thickBot="1">
      <c r="A24" s="71"/>
      <c r="B24" s="66" t="s">
        <v>7</v>
      </c>
      <c r="C24" s="83">
        <f>F25</f>
        <v>1000</v>
      </c>
      <c r="E24" s="138" t="s">
        <v>24</v>
      </c>
      <c r="F24" s="139">
        <v>16956</v>
      </c>
      <c r="G24" s="140"/>
      <c r="I24">
        <v>1960</v>
      </c>
      <c r="J24">
        <v>2025</v>
      </c>
      <c r="K24">
        <v>21</v>
      </c>
      <c r="L24">
        <v>0.12</v>
      </c>
      <c r="M24">
        <v>570</v>
      </c>
    </row>
    <row r="25" spans="1:13" ht="13.5" thickTop="1">
      <c r="A25" s="71"/>
      <c r="B25" s="66" t="s">
        <v>34</v>
      </c>
      <c r="C25" s="74">
        <f>IF(C6=2,F26,0)</f>
        <v>0</v>
      </c>
      <c r="E25" s="121" t="s">
        <v>7</v>
      </c>
      <c r="F25" s="141">
        <v>1000</v>
      </c>
      <c r="G25" s="142" t="s">
        <v>5</v>
      </c>
      <c r="I25">
        <v>1961</v>
      </c>
      <c r="J25">
        <v>2026</v>
      </c>
      <c r="K25">
        <v>22</v>
      </c>
      <c r="L25">
        <v>0.112</v>
      </c>
      <c r="M25">
        <v>532</v>
      </c>
    </row>
    <row r="26" spans="1:13" ht="12.75">
      <c r="A26" s="65"/>
      <c r="B26" s="66" t="s">
        <v>8</v>
      </c>
      <c r="C26" s="74">
        <f>IF(C6&gt;5,0,F27)</f>
        <v>36</v>
      </c>
      <c r="E26" s="121" t="s">
        <v>34</v>
      </c>
      <c r="F26" s="130">
        <v>1908</v>
      </c>
      <c r="G26" s="131"/>
      <c r="I26">
        <v>1962</v>
      </c>
      <c r="J26">
        <v>2027</v>
      </c>
      <c r="K26">
        <v>23</v>
      </c>
      <c r="L26">
        <v>0.104</v>
      </c>
      <c r="M26">
        <v>494</v>
      </c>
    </row>
    <row r="27" spans="1:13" ht="12.75">
      <c r="A27" s="65"/>
      <c r="B27" s="66" t="s">
        <v>9</v>
      </c>
      <c r="C27" s="74">
        <f>IF(C6&lt;4,C2*F28,IF(C6=4,C2*F28/2,0))</f>
        <v>0</v>
      </c>
      <c r="E27" s="133" t="s">
        <v>8</v>
      </c>
      <c r="F27" s="143">
        <v>36</v>
      </c>
      <c r="G27" s="131"/>
      <c r="I27">
        <v>1963</v>
      </c>
      <c r="J27">
        <v>2028</v>
      </c>
      <c r="K27">
        <v>24</v>
      </c>
      <c r="L27">
        <v>0.096</v>
      </c>
      <c r="M27">
        <v>456</v>
      </c>
    </row>
    <row r="28" spans="1:13" ht="13.5" thickBot="1">
      <c r="A28" s="65"/>
      <c r="B28" s="66" t="s">
        <v>10</v>
      </c>
      <c r="C28" s="83">
        <f>IF(C6=6,0,C24+C25+C26)</f>
        <v>1036</v>
      </c>
      <c r="E28" s="144" t="s">
        <v>9</v>
      </c>
      <c r="F28" s="145">
        <v>8388</v>
      </c>
      <c r="G28" s="140"/>
      <c r="I28">
        <v>1964</v>
      </c>
      <c r="J28">
        <v>2029</v>
      </c>
      <c r="K28">
        <v>25</v>
      </c>
      <c r="L28">
        <v>0.088</v>
      </c>
      <c r="M28">
        <v>418</v>
      </c>
    </row>
    <row r="29" spans="1:13" ht="13.5" thickTop="1">
      <c r="A29" s="69" t="s">
        <v>36</v>
      </c>
      <c r="B29" s="70" t="s">
        <v>28</v>
      </c>
      <c r="C29" s="84">
        <f>MIN(C9,C21)</f>
        <v>30000</v>
      </c>
      <c r="E29" s="117" t="s">
        <v>87</v>
      </c>
      <c r="F29" s="146">
        <v>1900</v>
      </c>
      <c r="G29" s="147" t="s">
        <v>36</v>
      </c>
      <c r="I29">
        <v>1965</v>
      </c>
      <c r="J29">
        <v>2030</v>
      </c>
      <c r="K29">
        <v>26</v>
      </c>
      <c r="L29">
        <v>0.08</v>
      </c>
      <c r="M29">
        <v>380</v>
      </c>
    </row>
    <row r="30" spans="1:13" ht="13.5" thickBot="1">
      <c r="A30" s="65"/>
      <c r="B30" s="66" t="s">
        <v>37</v>
      </c>
      <c r="C30" s="85">
        <f>IF(C4=1,0,ROUNDDOWN(F19*C29*G5,2))</f>
        <v>2343.6</v>
      </c>
      <c r="E30" s="144" t="s">
        <v>87</v>
      </c>
      <c r="F30" s="145">
        <v>3000</v>
      </c>
      <c r="G30" s="140"/>
      <c r="I30">
        <v>1966</v>
      </c>
      <c r="J30">
        <v>2031</v>
      </c>
      <c r="K30">
        <v>27</v>
      </c>
      <c r="L30">
        <v>0.072</v>
      </c>
      <c r="M30">
        <v>342</v>
      </c>
    </row>
    <row r="31" spans="1:13" ht="13.5" thickTop="1">
      <c r="A31" s="65"/>
      <c r="B31" s="67" t="s">
        <v>39</v>
      </c>
      <c r="C31" s="85">
        <f>IF(C23=1,F29,F30)</f>
        <v>1900</v>
      </c>
      <c r="E31" s="148"/>
      <c r="F31" s="149">
        <v>0.42</v>
      </c>
      <c r="G31" s="129" t="s">
        <v>16</v>
      </c>
      <c r="I31">
        <v>1967</v>
      </c>
      <c r="J31">
        <v>2032</v>
      </c>
      <c r="K31">
        <v>28</v>
      </c>
      <c r="L31">
        <v>0.064</v>
      </c>
      <c r="M31">
        <v>304</v>
      </c>
    </row>
    <row r="32" spans="1:13" ht="13.5" thickBot="1">
      <c r="A32" s="65"/>
      <c r="B32" s="67" t="s">
        <v>38</v>
      </c>
      <c r="C32" s="85">
        <f>MIN(C31,ROUNDDOWN(0.12*C29,2))</f>
        <v>1900</v>
      </c>
      <c r="E32" s="150"/>
      <c r="F32" s="151">
        <v>0.45</v>
      </c>
      <c r="G32" s="150"/>
      <c r="I32">
        <v>1968</v>
      </c>
      <c r="J32">
        <v>2033</v>
      </c>
      <c r="K32">
        <v>29</v>
      </c>
      <c r="L32">
        <v>0.056</v>
      </c>
      <c r="M32">
        <v>266</v>
      </c>
    </row>
    <row r="33" spans="1:13" ht="12.75">
      <c r="A33" s="65"/>
      <c r="B33" s="14" t="str">
        <f>IF(Eingabe!B9=0,"KVSatz=0",(Eingabe!B9+Eingabe!B10)/2&amp;" % + PV")</f>
        <v>7,85 % + PV</v>
      </c>
      <c r="C33" s="86">
        <f>IF(Eingabe!B9=0,0,G4+C11)</f>
        <v>0.09075</v>
      </c>
      <c r="E33" s="131" t="s">
        <v>88</v>
      </c>
      <c r="F33" s="149">
        <v>5.5</v>
      </c>
      <c r="G33" s="147" t="s">
        <v>23</v>
      </c>
      <c r="I33">
        <v>1969</v>
      </c>
      <c r="J33">
        <v>2034</v>
      </c>
      <c r="K33">
        <v>30</v>
      </c>
      <c r="L33">
        <v>0.048</v>
      </c>
      <c r="M33">
        <v>228</v>
      </c>
    </row>
    <row r="34" spans="1:13" ht="13.5" thickBot="1">
      <c r="A34" s="65"/>
      <c r="B34" s="72" t="s">
        <v>58</v>
      </c>
      <c r="C34" s="87">
        <f>IF(C10&gt;0,IF(C6=6,0,C10),ROUNDDOWN(MIN(C21,F17)*C33*100,0)/100)</f>
        <v>2722.5</v>
      </c>
      <c r="D34" s="52"/>
      <c r="E34" s="140"/>
      <c r="F34" s="152">
        <v>11.9</v>
      </c>
      <c r="G34" s="153" t="s">
        <v>127</v>
      </c>
      <c r="I34">
        <v>1970</v>
      </c>
      <c r="J34">
        <v>2035</v>
      </c>
      <c r="K34">
        <v>31</v>
      </c>
      <c r="L34">
        <v>0.04</v>
      </c>
      <c r="M34">
        <v>190</v>
      </c>
    </row>
    <row r="35" spans="1:13" ht="13.5" thickTop="1">
      <c r="A35" s="65"/>
      <c r="B35" s="67" t="s">
        <v>59</v>
      </c>
      <c r="C35" s="85">
        <f>IF(C34&gt;C31,C34,C32)</f>
        <v>2722.5</v>
      </c>
      <c r="E35" s="131"/>
      <c r="F35" s="136">
        <v>14753</v>
      </c>
      <c r="G35" s="147" t="s">
        <v>128</v>
      </c>
      <c r="I35">
        <v>1971</v>
      </c>
      <c r="J35">
        <v>2036</v>
      </c>
      <c r="K35">
        <v>32</v>
      </c>
      <c r="L35">
        <v>0.032</v>
      </c>
      <c r="M35">
        <v>152</v>
      </c>
    </row>
    <row r="36" spans="1:13" ht="12.75">
      <c r="A36" s="65"/>
      <c r="B36" s="67" t="s">
        <v>40</v>
      </c>
      <c r="C36" s="85">
        <f>ROUNDUP(C30+C35,0)</f>
        <v>5067</v>
      </c>
      <c r="E36" s="131"/>
      <c r="F36" s="136">
        <v>57918</v>
      </c>
      <c r="G36" s="131"/>
      <c r="I36">
        <v>1972</v>
      </c>
      <c r="J36">
        <v>2037</v>
      </c>
      <c r="K36">
        <v>33</v>
      </c>
      <c r="L36">
        <v>0.024</v>
      </c>
      <c r="M36">
        <v>114</v>
      </c>
    </row>
    <row r="37" spans="1:13" ht="12.75">
      <c r="A37" s="69" t="s">
        <v>21</v>
      </c>
      <c r="B37" s="104" t="s">
        <v>11</v>
      </c>
      <c r="C37" s="84">
        <f>ROUNDDOWN(C20-C28-C36,0)</f>
        <v>23897</v>
      </c>
      <c r="E37" s="131"/>
      <c r="F37" s="136">
        <v>274613</v>
      </c>
      <c r="G37" s="131"/>
      <c r="I37">
        <v>1973</v>
      </c>
      <c r="J37">
        <v>2038</v>
      </c>
      <c r="K37">
        <v>34</v>
      </c>
      <c r="L37">
        <v>0.016</v>
      </c>
      <c r="M37">
        <v>76</v>
      </c>
    </row>
    <row r="38" spans="1:13" ht="12.75">
      <c r="A38" s="105"/>
      <c r="B38" s="106" t="s">
        <v>109</v>
      </c>
      <c r="C38" s="83">
        <f>MAX(0,ROUNDDOWN(C37/C23,0))</f>
        <v>23897</v>
      </c>
      <c r="E38" s="131"/>
      <c r="F38" s="154">
        <v>208.85</v>
      </c>
      <c r="G38" s="131"/>
      <c r="I38">
        <v>1974</v>
      </c>
      <c r="J38">
        <v>2039</v>
      </c>
      <c r="K38">
        <v>35</v>
      </c>
      <c r="L38">
        <v>0.008</v>
      </c>
      <c r="M38">
        <v>38</v>
      </c>
    </row>
    <row r="39" spans="1:13" ht="12.75">
      <c r="A39" s="69" t="s">
        <v>65</v>
      </c>
      <c r="B39" s="70" t="s">
        <v>13</v>
      </c>
      <c r="C39" s="88">
        <f>IF(C38&lt;=F23,0,IF(C38&lt;=F35,INT((F41*(C38-F23)/10000+F42)*(C38-F23)/10000),IF(C38&lt;=F36,INT((F38*(C38-F35)/10000+F39)*(C38-F35)/10000+F40),IF(C38&lt;F37,INT(C38*F31-F43),INT(C38*F32-F44)))))*C23</f>
        <v>3317</v>
      </c>
      <c r="E39" s="131"/>
      <c r="F39" s="136">
        <v>2397</v>
      </c>
      <c r="G39" s="131"/>
      <c r="I39">
        <v>1975</v>
      </c>
      <c r="J39">
        <v>2040</v>
      </c>
      <c r="K39">
        <v>36</v>
      </c>
      <c r="L39">
        <v>0</v>
      </c>
      <c r="M39">
        <v>0</v>
      </c>
    </row>
    <row r="40" spans="1:8" ht="12.75">
      <c r="A40" s="69" t="s">
        <v>16</v>
      </c>
      <c r="B40" s="70" t="s">
        <v>12</v>
      </c>
      <c r="C40" s="89">
        <f>MIN(F21,C38)*1.25</f>
        <v>29871.25</v>
      </c>
      <c r="E40" s="131"/>
      <c r="F40" s="154">
        <v>950.96</v>
      </c>
      <c r="G40" s="131"/>
      <c r="H40" s="47"/>
    </row>
    <row r="41" spans="1:8" ht="12.75">
      <c r="A41" s="65"/>
      <c r="B41" s="66" t="s">
        <v>17</v>
      </c>
      <c r="C41" s="83">
        <f>IF(C40&lt;=F23,0,IF(C40&lt;=F35,INT((F41*(C40-F23)/10000+F42)*(C40-F23)/10000),IF(C40&lt;=F36,INT((F38*(C40-F35)/10000+F39)*(C40-F35)/10000+F40),IF(C40&lt;=F37,INT(C40*F31-F43),INT(C40*F32-F44)))))</f>
        <v>5052</v>
      </c>
      <c r="E41" s="131"/>
      <c r="F41" s="154">
        <v>995.21</v>
      </c>
      <c r="G41" s="131"/>
      <c r="H41" s="47"/>
    </row>
    <row r="42" spans="1:8" ht="12.75">
      <c r="A42" s="65"/>
      <c r="B42" s="66" t="s">
        <v>12</v>
      </c>
      <c r="C42" s="83">
        <f>MIN(F21,C38)*0.75</f>
        <v>17923</v>
      </c>
      <c r="E42" s="131"/>
      <c r="F42" s="136">
        <v>1400</v>
      </c>
      <c r="G42" s="131"/>
      <c r="H42" s="47"/>
    </row>
    <row r="43" spans="1:8" ht="12.75">
      <c r="A43" s="65"/>
      <c r="B43" s="66" t="s">
        <v>18</v>
      </c>
      <c r="C43" s="74">
        <f>IF(C42&lt;=F23,0,IF(C42&lt;=F35,INT((F41*(C42-F23)/10000+F42)*(C42-F23)/10000),IF(C42&lt;F36,INT((F38*(C42-F35)/10000+F39)*(C42-F35)/10000+F40),IF(C42&lt;F37,INT(C42*F31-F43),INT(C42*F32-F44)))))</f>
        <v>1731</v>
      </c>
      <c r="E43" s="131"/>
      <c r="F43" s="154">
        <v>9136.63</v>
      </c>
      <c r="G43" s="131"/>
      <c r="H43" s="47"/>
    </row>
    <row r="44" spans="1:8" ht="12.75">
      <c r="A44" s="65"/>
      <c r="B44" s="66" t="s">
        <v>19</v>
      </c>
      <c r="C44" s="83">
        <f>(C41-C43)*2</f>
        <v>6642</v>
      </c>
      <c r="E44" s="155"/>
      <c r="F44" s="154">
        <v>17374.99</v>
      </c>
      <c r="G44" s="155"/>
      <c r="H44" s="47"/>
    </row>
    <row r="45" spans="1:8" ht="12.75">
      <c r="A45" s="65"/>
      <c r="B45" s="66" t="s">
        <v>20</v>
      </c>
      <c r="C45" s="83">
        <f>ROUNDDOWN(MIN(C38,F21)*0.14,0)</f>
        <v>3345</v>
      </c>
      <c r="H45" s="47"/>
    </row>
    <row r="46" spans="1:3" ht="12.75">
      <c r="A46" s="65"/>
      <c r="B46" s="66" t="s">
        <v>13</v>
      </c>
      <c r="C46" s="83">
        <f>MAX(C44,C45)</f>
        <v>6642</v>
      </c>
    </row>
    <row r="47" spans="1:3" ht="12.75">
      <c r="A47" s="65"/>
      <c r="B47" s="66" t="s">
        <v>13</v>
      </c>
      <c r="C47" s="83">
        <f>IF(C38&gt;F22,(F22-F21)*F31+C46,ROUNDDOWN(MAX(C38-F21,0)*F31+C46,0))</f>
        <v>6642</v>
      </c>
    </row>
    <row r="48" spans="1:3" ht="12.75">
      <c r="A48" s="65"/>
      <c r="B48" s="66" t="s">
        <v>52</v>
      </c>
      <c r="C48" s="83">
        <f>IF(AND(C38&gt;F20,C38&lt;=F21),C46,0)</f>
        <v>6642</v>
      </c>
    </row>
    <row r="49" spans="1:3" ht="12.75">
      <c r="A49" s="65"/>
      <c r="B49" s="66" t="s">
        <v>13</v>
      </c>
      <c r="C49" s="83">
        <f>ROUNDDOWN(F20*0.14,0)</f>
        <v>1573</v>
      </c>
    </row>
    <row r="50" spans="1:3" ht="12.75">
      <c r="A50" s="65"/>
      <c r="B50" s="66" t="s">
        <v>13</v>
      </c>
      <c r="C50" s="83">
        <f>MIN(ROUNDDOWN(MAX(C38-F20,0)*F31+C49,0),C47)</f>
        <v>6642</v>
      </c>
    </row>
    <row r="51" spans="1:3" ht="12.75">
      <c r="A51" s="65"/>
      <c r="B51" s="66" t="s">
        <v>53</v>
      </c>
      <c r="C51" s="83">
        <f>ROUNDDOWN(MAX(C38-F22,0)*F32+C50,0)</f>
        <v>6642</v>
      </c>
    </row>
    <row r="52" spans="1:3" ht="12.75">
      <c r="A52" s="65"/>
      <c r="B52" s="66" t="s">
        <v>14</v>
      </c>
      <c r="C52" s="83">
        <f>ROUNDDOWN(IF(C6&lt;5,C39,C51)*C12,0)</f>
        <v>3317</v>
      </c>
    </row>
    <row r="53" spans="1:3" ht="12.75">
      <c r="A53" s="65"/>
      <c r="B53" s="66" t="s">
        <v>4</v>
      </c>
      <c r="C53" s="83">
        <f>C52*100</f>
        <v>331700</v>
      </c>
    </row>
    <row r="54" spans="1:3" ht="12.75">
      <c r="A54" s="69" t="s">
        <v>51</v>
      </c>
      <c r="B54" s="70" t="s">
        <v>32</v>
      </c>
      <c r="C54" s="84">
        <f>IF(C3=1,C53,IF(C3=2,ROUNDDOWN(C53/12,0),IF(C3=3,ROUNDDOWN((C53*7)/360,0),ROUNDDOWN(C53/360,0))))</f>
        <v>27641</v>
      </c>
    </row>
    <row r="55" spans="1:3" ht="12.75">
      <c r="A55" s="65"/>
      <c r="B55" s="66" t="s">
        <v>10</v>
      </c>
      <c r="C55" s="83">
        <f>C27+C28</f>
        <v>1036</v>
      </c>
    </row>
    <row r="56" spans="1:3" ht="12.75">
      <c r="A56" s="65"/>
      <c r="B56" s="66" t="s">
        <v>11</v>
      </c>
      <c r="C56" s="83">
        <f>C20-C36-C55</f>
        <v>23897</v>
      </c>
    </row>
    <row r="57" spans="1:3" ht="12.75">
      <c r="A57" s="65"/>
      <c r="B57" s="66" t="s">
        <v>35</v>
      </c>
      <c r="C57" s="83">
        <f>IF(C56&lt;36,0,ROUNDDOWN(C56/C23,0))</f>
        <v>23897</v>
      </c>
    </row>
    <row r="58" spans="1:3" ht="12.75">
      <c r="A58" s="65"/>
      <c r="B58" s="66" t="s">
        <v>13</v>
      </c>
      <c r="C58" s="83">
        <f>IF(C57&lt;=F23,0,IF(C57&lt;=F35,INT((F41*(C57-F23)/10000+F42)*(C57-F23)/10000),IF(C57&lt;=F36,INT((F38*(C57-F35)/10000+F39)*(C57-F35)/10000+F40),IF(C57&lt;F37,INT(C57*F31-F43),INT(C57*F32-F44)))))*C23</f>
        <v>3317</v>
      </c>
    </row>
    <row r="59" spans="1:3" ht="12.75">
      <c r="A59" s="65"/>
      <c r="B59" s="66" t="s">
        <v>22</v>
      </c>
      <c r="C59" s="83">
        <f>IF(C2&gt;0,ROUNDDOWN(C58*C12,0),C52)</f>
        <v>3317</v>
      </c>
    </row>
    <row r="60" spans="1:3" ht="12.75">
      <c r="A60" s="69" t="s">
        <v>23</v>
      </c>
      <c r="B60" s="70" t="s">
        <v>24</v>
      </c>
      <c r="C60" s="82">
        <f>(F24)*C23</f>
        <v>16956</v>
      </c>
    </row>
    <row r="61" spans="1:3" ht="12.75">
      <c r="A61" s="65"/>
      <c r="B61" s="66" t="s">
        <v>25</v>
      </c>
      <c r="C61" s="81">
        <f>ROUNDDOWN((C59*F33)/100,2)</f>
        <v>182.43</v>
      </c>
    </row>
    <row r="62" spans="1:3" ht="12.75">
      <c r="A62" s="65"/>
      <c r="B62" s="66" t="s">
        <v>26</v>
      </c>
      <c r="C62" s="81">
        <f>((C59-C60)*F34)/100</f>
        <v>-1623.04</v>
      </c>
    </row>
    <row r="63" spans="1:3" ht="12.75">
      <c r="A63" s="65"/>
      <c r="B63" s="66" t="s">
        <v>25</v>
      </c>
      <c r="C63" s="81">
        <f>MIN(C62,C61)</f>
        <v>-1623.04</v>
      </c>
    </row>
    <row r="64" spans="1:3" ht="12.75">
      <c r="A64" s="65"/>
      <c r="B64" s="66" t="s">
        <v>4</v>
      </c>
      <c r="C64" s="74">
        <f>C63*100</f>
        <v>-162304</v>
      </c>
    </row>
    <row r="65" spans="1:3" ht="12.75">
      <c r="A65" s="69" t="s">
        <v>50</v>
      </c>
      <c r="B65" s="70" t="s">
        <v>15</v>
      </c>
      <c r="C65" s="84">
        <f>ROUNDDOWN(IF(C3=1,C64,IF(C3=2,C64/12,IF(C3=3,(C64*7)/360,C64/360))),0)</f>
        <v>-13525</v>
      </c>
    </row>
    <row r="66" spans="1:3" ht="12.75">
      <c r="A66" s="65"/>
      <c r="B66" s="66" t="s">
        <v>33</v>
      </c>
      <c r="C66" s="83">
        <f>IF(C59&gt;C60,C65,0)</f>
        <v>0</v>
      </c>
    </row>
    <row r="67" spans="1:3" ht="12.75">
      <c r="A67" s="65"/>
      <c r="B67" s="66" t="s">
        <v>4</v>
      </c>
      <c r="C67" s="83">
        <f>C59*100</f>
        <v>331700</v>
      </c>
    </row>
    <row r="68" spans="1:3" ht="12.75">
      <c r="A68" s="90" t="s">
        <v>27</v>
      </c>
      <c r="B68" s="91" t="s">
        <v>27</v>
      </c>
      <c r="C68" s="92">
        <f>ROUNDDOWN(IF(C3=1,C67,IF(C3=2,C67/12,IF(C3=3,(C67*7)/360,C67/360))),0)</f>
        <v>27641</v>
      </c>
    </row>
    <row r="69" spans="1:3" ht="12.75">
      <c r="A69" s="90" t="s">
        <v>115</v>
      </c>
      <c r="B69" s="91" t="s">
        <v>116</v>
      </c>
      <c r="C69" s="112">
        <f>IF(C3=1,12,IF(C3=2,1,IF(C3=3,84/360,12/360)))</f>
        <v>1</v>
      </c>
    </row>
  </sheetData>
  <sheetProtection/>
  <mergeCells count="1">
    <mergeCell ref="I1:M1"/>
  </mergeCells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 Parmentier</cp:lastModifiedBy>
  <cp:lastPrinted>2006-02-07T15:12:52Z</cp:lastPrinted>
  <dcterms:created xsi:type="dcterms:W3CDTF">1999-02-09T12:11:13Z</dcterms:created>
  <dcterms:modified xsi:type="dcterms:W3CDTF">2021-01-12T20:31:44Z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