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65" windowWidth="16575" windowHeight="20535" activeTab="0"/>
  </bookViews>
  <sheets>
    <sheet name="Eingabe" sheetId="1" r:id="rId1"/>
    <sheet name="Berechnung" sheetId="2" r:id="rId2"/>
  </sheets>
  <definedNames>
    <definedName name="BearbJahr">'Berechnung'!$B$1</definedName>
  </definedNames>
  <calcPr fullCalcOnLoad="1" fullPrecision="0"/>
</workbook>
</file>

<file path=xl/comments2.xml><?xml version="1.0" encoding="utf-8"?>
<comments xmlns="http://schemas.openxmlformats.org/spreadsheetml/2006/main">
  <authors>
    <author>1HG</author>
    <author>Herbert Grom</author>
  </authors>
  <commentList>
    <comment ref="C37" authorId="0">
      <text>
        <r>
          <rPr>
            <sz val="10"/>
            <color indexed="8"/>
            <rFont val="Arial"/>
            <family val="2"/>
          </rPr>
          <t>Zu versteuerndes Einkommen</t>
        </r>
      </text>
    </comment>
    <comment ref="G16" authorId="0">
      <text>
        <r>
          <rPr>
            <sz val="10"/>
            <color indexed="8"/>
            <rFont val="Arial"/>
            <family val="2"/>
          </rPr>
          <t>OST</t>
        </r>
      </text>
    </comment>
    <comment ref="G15" authorId="0">
      <text>
        <r>
          <rPr>
            <sz val="10"/>
            <color indexed="8"/>
            <rFont val="Arial"/>
            <family val="2"/>
          </rPr>
          <t>WEST</t>
        </r>
      </text>
    </comment>
    <comment ref="H19" authorId="1">
      <text>
        <r>
          <rPr>
            <sz val="10"/>
            <color indexed="8"/>
            <rFont val="Arial"/>
            <family val="2"/>
          </rPr>
          <t xml:space="preserve">Basis 2015 ist 0,60. 
</t>
        </r>
        <r>
          <rPr>
            <sz val="10"/>
            <color indexed="8"/>
            <rFont val="Arial"/>
            <family val="2"/>
          </rPr>
          <t>Jedes folgende Jahr + 0,04</t>
        </r>
      </text>
    </comment>
  </commentList>
</comments>
</file>

<file path=xl/sharedStrings.xml><?xml version="1.0" encoding="utf-8"?>
<sst xmlns="http://schemas.openxmlformats.org/spreadsheetml/2006/main" count="192" uniqueCount="138">
  <si>
    <t>KRV</t>
  </si>
  <si>
    <t>LZZ</t>
  </si>
  <si>
    <t>STKL</t>
  </si>
  <si>
    <t>ZKF</t>
  </si>
  <si>
    <t>JW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</si>
  <si>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</si>
  <si>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</si>
  <si>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</si>
  <si>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</si>
  <si>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</si>
  <si>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</si>
  <si>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</si>
  <si>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</si>
  <si>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</si>
  <si>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</si>
  <si>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</si>
  <si>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</si>
  <si>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</si>
  <si>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</si>
  <si>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</si>
  <si>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</si>
  <si>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</si>
  <si>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</si>
  <si>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</si>
  <si>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</si>
  <si>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</si>
  <si>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</si>
  <si>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</si>
  <si>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</si>
  <si>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</si>
  <si>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</si>
  <si>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</si>
  <si>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</si>
  <si>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</si>
  <si>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</si>
  <si>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</si>
  <si>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</si>
  <si>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</si>
  <si>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</si>
  <si>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</si>
  <si>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</si>
  <si>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</si>
  <si>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</si>
  <si>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</si>
  <si>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Kirchensteuer (0=keine, 8=8%, 9=9%)</t>
  </si>
  <si>
    <t>%</t>
  </si>
  <si>
    <t>(Jahres)lohnsteuerfreibetrag auf LStKarte</t>
  </si>
  <si>
    <t>Abzüge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</si>
  <si>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</si>
  <si>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</si>
  <si>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</si>
  <si>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</si>
  <si>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</si>
  <si>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</si>
  <si>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ZRE4J</t>
  </si>
  <si>
    <t>JLHINZU</t>
  </si>
  <si>
    <t>JLFREIB</t>
  </si>
  <si>
    <t>KV</t>
  </si>
  <si>
    <t>KV&gt;VHB?</t>
  </si>
  <si>
    <t>PV%</t>
  </si>
  <si>
    <t>FAKTOR F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</si>
  <si>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</si>
  <si>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</si>
  <si>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t>BBGRV</t>
  </si>
  <si>
    <t>W1STKL5</t>
  </si>
  <si>
    <t>W2STKL5</t>
  </si>
  <si>
    <t>W3STKL5</t>
  </si>
  <si>
    <t>BBGKVPV</t>
  </si>
  <si>
    <t>KVSATZAG</t>
  </si>
  <si>
    <t>GFB</t>
  </si>
  <si>
    <t>TBSVORV</t>
  </si>
  <si>
    <t>MPARA</t>
  </si>
  <si>
    <t>Kinderfreibetrag (0, 0.5, 1, 1.5, 2.0, 2.5 usw)</t>
  </si>
  <si>
    <t>Krankenkassen-Zusatzbeitragsatz AN</t>
  </si>
  <si>
    <t>kinderlos u. über 23j. (PflegeV)  nein=0 ja=1</t>
  </si>
  <si>
    <t>Arbeitsstelle in Ostdeutschland  nein=0 ja=1</t>
  </si>
  <si>
    <t>und dabei in Sachsen                  nein=0 ja=1</t>
  </si>
  <si>
    <t>KVSATZ</t>
  </si>
  <si>
    <t>KV_Zusatz</t>
  </si>
  <si>
    <t>RV_Satz</t>
  </si>
  <si>
    <t>AV_Satz</t>
  </si>
  <si>
    <t>PV_Satz</t>
  </si>
  <si>
    <t>PV_Satz Sachsen</t>
  </si>
  <si>
    <t>Bezeichnung</t>
  </si>
  <si>
    <t>VHB / VSP2</t>
  </si>
  <si>
    <t>SOLI</t>
  </si>
  <si>
    <t>ZUSATZ Kinderlos</t>
  </si>
  <si>
    <t>Das Programm ist FreeWare. Es kann von jedem nach seinen Wünschen verändert werden. Das Layout ist einfachst gestaltet. 
Bei Ansicht unter Fensteroptionen Kästchen Formeln 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</si>
  <si>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2"/>
      </rPr>
      <t xml:space="preserve"> gewünschte Werte eingeben und 
</t>
    </r>
    <r>
      <rPr>
        <b/>
        <sz val="10"/>
        <color indexed="10"/>
        <rFont val="Arial"/>
        <family val="2"/>
      </rPr>
      <t>Eingabe mit "ENTER"-Taste abschließen.</t>
    </r>
  </si>
  <si>
    <t>Berechnet</t>
  </si>
  <si>
    <t>BMF - PAP - ANGABEN</t>
  </si>
  <si>
    <t>WERT</t>
  </si>
  <si>
    <t>Name</t>
  </si>
  <si>
    <t>Bereich</t>
  </si>
  <si>
    <t>SATZ</t>
  </si>
  <si>
    <t>ohne / mit Kind</t>
  </si>
  <si>
    <t>LST</t>
  </si>
  <si>
    <t>allgemeine(=0) oder besondere (=1) Lsttabelle</t>
  </si>
  <si>
    <t>Altersentlastungsbetrag</t>
  </si>
  <si>
    <t>MRE4ALTE</t>
  </si>
  <si>
    <t>TAB4</t>
  </si>
  <si>
    <t>TAB5</t>
  </si>
  <si>
    <t>ALTEANTEIL</t>
  </si>
  <si>
    <t>ALTE</t>
  </si>
  <si>
    <t>ZRE4</t>
  </si>
  <si>
    <t>MRE4</t>
  </si>
  <si>
    <t>ZZX</t>
  </si>
  <si>
    <t>Krankenversicherungsbeitragssatz bzw. PKV-Basisprämie in €</t>
  </si>
  <si>
    <t>PKV</t>
  </si>
  <si>
    <t>Arbeitgeberzuschuss zur privaten KV  nein=0, ja=1</t>
  </si>
  <si>
    <r>
      <rPr>
        <b/>
        <sz val="10"/>
        <color indexed="12"/>
        <rFont val="Arial"/>
        <family val="2"/>
      </rPr>
      <t>KV-Beitragssatz ohne Zusatzbeitrag eingeben!</t>
    </r>
    <r>
      <rPr>
        <sz val="10"/>
        <rFont val="Arial"/>
        <family val="2"/>
      </rPr>
      <t xml:space="preserve">
(seit 2011 KV-Beitragssatz 14,6%, reduz. 14,0%) ) bzw. PKV-Basisprämie (incl. PV). Ohne Nachweis 0 eingeben.</t>
    </r>
  </si>
  <si>
    <t>KVSATZ AG</t>
  </si>
  <si>
    <t>FAKTOR LZZ</t>
  </si>
  <si>
    <t>FLZZ</t>
  </si>
  <si>
    <t>9,3% Rentenversicherung</t>
  </si>
  <si>
    <t>http://www.parmentier.de/steuer/index.php</t>
  </si>
  <si>
    <r>
      <t xml:space="preserve">Summe </t>
    </r>
    <r>
      <rPr>
        <sz val="12"/>
        <color indexed="30"/>
        <rFont val="Arial"/>
        <family val="2"/>
      </rPr>
      <t>Kurzarbeitergeld</t>
    </r>
    <r>
      <rPr>
        <sz val="12"/>
        <rFont val="Arial"/>
        <family val="2"/>
      </rPr>
      <t xml:space="preserve"> (bzw. Elterngeld usw.)</t>
    </r>
  </si>
  <si>
    <r>
      <t xml:space="preserve">Nettolohn </t>
    </r>
    <r>
      <rPr>
        <sz val="12"/>
        <color indexed="9"/>
        <rFont val="Arial"/>
        <family val="2"/>
      </rPr>
      <t>+ steuerfreies Einkommen mit Progvorbehalt</t>
    </r>
  </si>
  <si>
    <t>UPTAB</t>
  </si>
  <si>
    <t>KUG</t>
  </si>
  <si>
    <t>ZRE4J + Prog</t>
  </si>
  <si>
    <t>STPROG</t>
  </si>
  <si>
    <t>Progprozent StKl 1-4</t>
  </si>
  <si>
    <t>SoliProg Kinder</t>
  </si>
  <si>
    <t>ZVE+PROG-KFB</t>
  </si>
  <si>
    <t>Prog%</t>
  </si>
  <si>
    <t>KV plus PV AG</t>
  </si>
  <si>
    <t>ZUSATZ KV Schnitt</t>
  </si>
  <si>
    <t>1,2% Arbeitslosenversicherung</t>
  </si>
  <si>
    <t>Geburtsjahr</t>
  </si>
  <si>
    <t>Jahr</t>
  </si>
  <si>
    <t>Nummer</t>
  </si>
  <si>
    <t>vor 1941</t>
  </si>
  <si>
    <t>bis 2005</t>
  </si>
  <si>
    <t>SOLZMIN F</t>
  </si>
  <si>
    <r>
      <t xml:space="preserve">Jahreslohnsteuerberechnung 2022 mit Zellfunktionen
</t>
    </r>
    <r>
      <rPr>
        <sz val="12"/>
        <color indexed="9"/>
        <rFont val="Arial"/>
        <family val="2"/>
      </rPr>
      <t>mit Berücksichtigung von Einkommensteuerersatzleistungen mit
Progressionsvorbehalt (wie KUG, Elterngeld usw.) (Steuerklasse 1 bis 4)</t>
    </r>
  </si>
  <si>
    <t>Stand 26.11.2021</t>
  </si>
  <si>
    <t>UPTAB22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</si>
</sst>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"/>
    <numFmt numFmtId="174" formatCode="0.000"/>
    <numFmt numFmtId="175" formatCode="_-* #,##0.00\ [$€-1]_-;\-* #,##0.00\ [$€-1]_-;_-* &quot;-&quot;??\ [$€-1]_-"/>
    <numFmt numFmtId="176" formatCode="#,##0.00_ ;\-#,##0.00\ "/>
    <numFmt numFmtId="177" formatCode="0.000%"/>
    <numFmt numFmtId="178" formatCode="0.00000_ ;\-0.00000\ "/>
    <numFmt numFmtId="179" formatCode="0_ ;\-0\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2"/>
      <color indexed="3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2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B50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1" fillId="34" borderId="13" xfId="0" applyFont="1" applyFill="1" applyBorder="1" applyAlignment="1">
      <alignment/>
    </xf>
    <xf numFmtId="4" fontId="61" fillId="34" borderId="14" xfId="0" applyNumberFormat="1" applyFont="1" applyFill="1" applyBorder="1" applyAlignment="1">
      <alignment/>
    </xf>
    <xf numFmtId="0" fontId="62" fillId="3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3" fillId="0" borderId="15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176" fontId="12" fillId="35" borderId="10" xfId="60" applyNumberFormat="1" applyFont="1" applyFill="1" applyBorder="1" applyAlignment="1">
      <alignment/>
    </xf>
    <xf numFmtId="0" fontId="12" fillId="35" borderId="0" xfId="0" applyFont="1" applyFill="1" applyAlignment="1">
      <alignment horizontal="center"/>
    </xf>
    <xf numFmtId="0" fontId="13" fillId="35" borderId="15" xfId="0" applyFont="1" applyFill="1" applyBorder="1" applyAlignment="1">
      <alignment horizontal="right"/>
    </xf>
    <xf numFmtId="176" fontId="12" fillId="35" borderId="15" xfId="60" applyNumberFormat="1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4" fontId="15" fillId="36" borderId="12" xfId="0" applyNumberFormat="1" applyFont="1" applyFill="1" applyBorder="1" applyAlignment="1">
      <alignment/>
    </xf>
    <xf numFmtId="0" fontId="15" fillId="36" borderId="19" xfId="0" applyFont="1" applyFill="1" applyBorder="1" applyAlignment="1">
      <alignment horizontal="center"/>
    </xf>
    <xf numFmtId="4" fontId="15" fillId="36" borderId="14" xfId="0" applyNumberFormat="1" applyFont="1" applyFill="1" applyBorder="1" applyAlignment="1">
      <alignment/>
    </xf>
    <xf numFmtId="0" fontId="15" fillId="36" borderId="20" xfId="0" applyFont="1" applyFill="1" applyBorder="1" applyAlignment="1">
      <alignment horizontal="center"/>
    </xf>
    <xf numFmtId="2" fontId="15" fillId="36" borderId="14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6" fillId="37" borderId="13" xfId="0" applyFont="1" applyFill="1" applyBorder="1" applyAlignment="1">
      <alignment horizontal="centerContinuous"/>
    </xf>
    <xf numFmtId="0" fontId="16" fillId="37" borderId="14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53" applyFont="1" applyFill="1" applyBorder="1" applyAlignment="1">
      <alignment vertical="center"/>
      <protection/>
    </xf>
    <xf numFmtId="0" fontId="0" fillId="0" borderId="14" xfId="53" applyFont="1" applyFill="1" applyBorder="1" applyAlignment="1">
      <alignment vertical="center"/>
      <protection/>
    </xf>
    <xf numFmtId="0" fontId="0" fillId="0" borderId="21" xfId="53" applyFont="1" applyFill="1" applyBorder="1" applyAlignment="1">
      <alignment vertical="center"/>
      <protection/>
    </xf>
    <xf numFmtId="0" fontId="0" fillId="38" borderId="22" xfId="0" applyFill="1" applyBorder="1" applyAlignment="1">
      <alignment horizontal="centerContinuous" vertical="center"/>
    </xf>
    <xf numFmtId="0" fontId="0" fillId="38" borderId="22" xfId="0" applyFill="1" applyBorder="1" applyAlignment="1">
      <alignment horizontal="centerContinuous"/>
    </xf>
    <xf numFmtId="0" fontId="0" fillId="0" borderId="23" xfId="53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3" fillId="37" borderId="20" xfId="53" applyFont="1" applyFill="1" applyBorder="1" applyAlignment="1" applyProtection="1">
      <alignment horizontal="centerContinuous"/>
      <protection hidden="1"/>
    </xf>
    <xf numFmtId="0" fontId="13" fillId="37" borderId="13" xfId="53" applyFont="1" applyFill="1" applyBorder="1" applyAlignment="1" applyProtection="1">
      <alignment horizontal="centerContinuous"/>
      <protection hidden="1"/>
    </xf>
    <xf numFmtId="0" fontId="2" fillId="0" borderId="24" xfId="53" applyFont="1" applyFill="1" applyBorder="1" applyAlignment="1">
      <alignment/>
      <protection/>
    </xf>
    <xf numFmtId="0" fontId="0" fillId="0" borderId="11" xfId="53" applyFont="1" applyFill="1" applyBorder="1" applyAlignment="1">
      <alignment/>
      <protection/>
    </xf>
    <xf numFmtId="0" fontId="0" fillId="0" borderId="25" xfId="53" applyFont="1" applyFill="1" applyBorder="1" applyAlignment="1">
      <alignment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/>
      <protection/>
    </xf>
    <xf numFmtId="0" fontId="0" fillId="0" borderId="14" xfId="53" applyFont="1" applyFill="1" applyBorder="1" applyAlignment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24" xfId="53" applyFont="1" applyFill="1" applyBorder="1" applyAlignment="1">
      <alignment/>
      <protection/>
    </xf>
    <xf numFmtId="0" fontId="17" fillId="37" borderId="26" xfId="0" applyFont="1" applyFill="1" applyBorder="1" applyAlignment="1">
      <alignment horizontal="centerContinuous" vertical="center"/>
    </xf>
    <xf numFmtId="0" fontId="17" fillId="37" borderId="26" xfId="53" applyFont="1" applyFill="1" applyBorder="1" applyAlignment="1" applyProtection="1">
      <alignment horizontal="centerContinuous"/>
      <protection hidden="1"/>
    </xf>
    <xf numFmtId="0" fontId="18" fillId="37" borderId="17" xfId="0" applyFont="1" applyFill="1" applyBorder="1" applyAlignment="1">
      <alignment/>
    </xf>
    <xf numFmtId="0" fontId="18" fillId="37" borderId="27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right"/>
    </xf>
    <xf numFmtId="0" fontId="18" fillId="37" borderId="21" xfId="53" applyFont="1" applyFill="1" applyBorder="1" applyAlignment="1" applyProtection="1">
      <alignment/>
      <protection hidden="1"/>
    </xf>
    <xf numFmtId="0" fontId="18" fillId="37" borderId="21" xfId="0" applyFont="1" applyFill="1" applyBorder="1" applyAlignment="1">
      <alignment horizontal="center"/>
    </xf>
    <xf numFmtId="0" fontId="14" fillId="39" borderId="28" xfId="0" applyFont="1" applyFill="1" applyBorder="1" applyAlignment="1" applyProtection="1">
      <alignment/>
      <protection hidden="1"/>
    </xf>
    <xf numFmtId="0" fontId="63" fillId="40" borderId="18" xfId="0" applyFont="1" applyFill="1" applyBorder="1" applyAlignment="1">
      <alignment horizontal="center" vertical="center"/>
    </xf>
    <xf numFmtId="0" fontId="13" fillId="39" borderId="29" xfId="0" applyFont="1" applyFill="1" applyBorder="1" applyAlignment="1" applyProtection="1">
      <alignment/>
      <protection hidden="1"/>
    </xf>
    <xf numFmtId="0" fontId="2" fillId="41" borderId="30" xfId="0" applyFont="1" applyFill="1" applyBorder="1" applyAlignment="1" applyProtection="1">
      <alignment/>
      <protection hidden="1"/>
    </xf>
    <xf numFmtId="0" fontId="0" fillId="42" borderId="31" xfId="0" applyFill="1" applyBorder="1" applyAlignment="1" applyProtection="1">
      <alignment/>
      <protection hidden="1"/>
    </xf>
    <xf numFmtId="2" fontId="0" fillId="0" borderId="32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8" fontId="0" fillId="0" borderId="32" xfId="0" applyNumberFormat="1" applyFill="1" applyBorder="1" applyAlignment="1" applyProtection="1">
      <alignment/>
      <protection hidden="1"/>
    </xf>
    <xf numFmtId="0" fontId="2" fillId="41" borderId="32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42" borderId="33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173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42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42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173" fontId="0" fillId="0" borderId="10" xfId="52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3" fontId="0" fillId="42" borderId="10" xfId="0" applyNumberFormat="1" applyFont="1" applyFill="1" applyBorder="1" applyAlignment="1" applyProtection="1">
      <alignment/>
      <protection hidden="1"/>
    </xf>
    <xf numFmtId="4" fontId="0" fillId="42" borderId="10" xfId="0" applyNumberFormat="1" applyFill="1" applyBorder="1" applyAlignment="1" applyProtection="1">
      <alignment/>
      <protection hidden="1"/>
    </xf>
    <xf numFmtId="0" fontId="2" fillId="41" borderId="34" xfId="0" applyFont="1" applyFill="1" applyBorder="1" applyAlignment="1" applyProtection="1">
      <alignment/>
      <protection hidden="1"/>
    </xf>
    <xf numFmtId="0" fontId="0" fillId="42" borderId="19" xfId="0" applyFill="1" applyBorder="1" applyAlignment="1" applyProtection="1">
      <alignment/>
      <protection hidden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2" fillId="0" borderId="10" xfId="0" applyFont="1" applyBorder="1" applyAlignment="1">
      <alignment wrapText="1"/>
    </xf>
    <xf numFmtId="0" fontId="12" fillId="33" borderId="32" xfId="0" applyFont="1" applyFill="1" applyBorder="1" applyAlignment="1">
      <alignment/>
    </xf>
    <xf numFmtId="0" fontId="12" fillId="0" borderId="0" xfId="0" applyFont="1" applyAlignment="1">
      <alignment/>
    </xf>
    <xf numFmtId="0" fontId="2" fillId="41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0" fillId="42" borderId="0" xfId="0" applyFont="1" applyFill="1" applyAlignment="1" applyProtection="1">
      <alignment/>
      <protection hidden="1"/>
    </xf>
    <xf numFmtId="0" fontId="0" fillId="42" borderId="0" xfId="0" applyFont="1" applyFill="1" applyBorder="1" applyAlignment="1" applyProtection="1">
      <alignment/>
      <protection hidden="1"/>
    </xf>
    <xf numFmtId="0" fontId="2" fillId="0" borderId="32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43" borderId="10" xfId="0" applyFont="1" applyFill="1" applyBorder="1" applyAlignment="1">
      <alignment/>
    </xf>
    <xf numFmtId="172" fontId="12" fillId="43" borderId="11" xfId="0" applyNumberFormat="1" applyFont="1" applyFill="1" applyBorder="1" applyAlignment="1">
      <alignment/>
    </xf>
    <xf numFmtId="0" fontId="12" fillId="43" borderId="0" xfId="0" applyFont="1" applyFill="1" applyAlignment="1">
      <alignment horizontal="center"/>
    </xf>
    <xf numFmtId="0" fontId="0" fillId="0" borderId="14" xfId="53" applyFont="1" applyFill="1" applyBorder="1" applyAlignment="1">
      <alignment vertical="center"/>
      <protection/>
    </xf>
    <xf numFmtId="10" fontId="0" fillId="42" borderId="14" xfId="0" applyNumberFormat="1" applyFill="1" applyBorder="1" applyAlignment="1">
      <alignment horizontal="center"/>
    </xf>
    <xf numFmtId="0" fontId="12" fillId="43" borderId="11" xfId="0" applyNumberFormat="1" applyFont="1" applyFill="1" applyBorder="1" applyAlignment="1">
      <alignment/>
    </xf>
    <xf numFmtId="186" fontId="0" fillId="42" borderId="15" xfId="0" applyNumberFormat="1" applyFill="1" applyBorder="1" applyAlignment="1" applyProtection="1">
      <alignment/>
      <protection hidden="1"/>
    </xf>
    <xf numFmtId="0" fontId="10" fillId="38" borderId="35" xfId="0" applyFont="1" applyFill="1" applyBorder="1" applyAlignment="1">
      <alignment horizontal="centerContinuous" vertical="center" wrapText="1"/>
    </xf>
    <xf numFmtId="4" fontId="64" fillId="0" borderId="11" xfId="0" applyNumberFormat="1" applyFont="1" applyFill="1" applyBorder="1" applyAlignment="1">
      <alignment wrapText="1"/>
    </xf>
    <xf numFmtId="0" fontId="13" fillId="39" borderId="0" xfId="0" applyFon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173" fontId="0" fillId="0" borderId="0" xfId="0" applyNumberForma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173" fontId="0" fillId="0" borderId="0" xfId="52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186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86" fontId="0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" fillId="42" borderId="0" xfId="0" applyFont="1" applyFill="1" applyAlignment="1" applyProtection="1">
      <alignment/>
      <protection hidden="1"/>
    </xf>
    <xf numFmtId="0" fontId="0" fillId="0" borderId="10" xfId="0" applyBorder="1" applyAlignment="1">
      <alignment/>
    </xf>
    <xf numFmtId="177" fontId="0" fillId="44" borderId="14" xfId="0" applyNumberFormat="1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0" xfId="0" applyFont="1" applyAlignment="1">
      <alignment/>
    </xf>
    <xf numFmtId="0" fontId="18" fillId="37" borderId="14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0" fillId="44" borderId="0" xfId="0" applyFill="1" applyAlignment="1">
      <alignment horizontal="right"/>
    </xf>
    <xf numFmtId="0" fontId="0" fillId="4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7" fontId="0" fillId="42" borderId="13" xfId="53" applyNumberFormat="1" applyFill="1" applyBorder="1" applyAlignment="1">
      <alignment horizontal="right" vertical="center" indent="1"/>
      <protection/>
    </xf>
    <xf numFmtId="177" fontId="0" fillId="44" borderId="13" xfId="53" applyNumberFormat="1" applyFill="1" applyBorder="1" applyAlignment="1">
      <alignment horizontal="right" vertical="center" indent="1"/>
      <protection/>
    </xf>
    <xf numFmtId="10" fontId="0" fillId="42" borderId="14" xfId="53" applyNumberFormat="1" applyFill="1" applyBorder="1" applyAlignment="1">
      <alignment horizontal="right" vertical="center" indent="1"/>
      <protection/>
    </xf>
    <xf numFmtId="10" fontId="0" fillId="42" borderId="12" xfId="53" applyNumberFormat="1" applyFill="1" applyBorder="1" applyAlignment="1">
      <alignment horizontal="right" vertical="center" indent="1"/>
      <protection/>
    </xf>
    <xf numFmtId="3" fontId="0" fillId="42" borderId="12" xfId="53" applyNumberFormat="1" applyFill="1" applyBorder="1" applyAlignment="1" applyProtection="1">
      <alignment horizontal="right" indent="1"/>
      <protection hidden="1"/>
    </xf>
    <xf numFmtId="3" fontId="0" fillId="42" borderId="14" xfId="53" applyNumberFormat="1" applyFill="1" applyBorder="1" applyAlignment="1" applyProtection="1">
      <alignment horizontal="right" indent="1"/>
      <protection hidden="1"/>
    </xf>
    <xf numFmtId="173" fontId="0" fillId="42" borderId="14" xfId="53" applyNumberFormat="1" applyFill="1" applyBorder="1" applyAlignment="1">
      <alignment horizontal="right" vertical="center" indent="1"/>
      <protection/>
    </xf>
    <xf numFmtId="4" fontId="0" fillId="42" borderId="23" xfId="53" applyNumberFormat="1" applyFill="1" applyBorder="1" applyAlignment="1">
      <alignment horizontal="right" vertical="center" indent="1"/>
      <protection/>
    </xf>
    <xf numFmtId="3" fontId="0" fillId="42" borderId="14" xfId="53" applyNumberFormat="1" applyFill="1" applyBorder="1" applyAlignment="1" applyProtection="1">
      <alignment horizontal="right" vertical="center" indent="1"/>
      <protection hidden="1"/>
    </xf>
    <xf numFmtId="4" fontId="0" fillId="42" borderId="21" xfId="53" applyNumberFormat="1" applyFill="1" applyBorder="1" applyAlignment="1" applyProtection="1">
      <alignment horizontal="right" vertical="center" indent="1"/>
      <protection hidden="1"/>
    </xf>
    <xf numFmtId="3" fontId="0" fillId="42" borderId="21" xfId="53" applyNumberFormat="1" applyFill="1" applyBorder="1" applyAlignment="1">
      <alignment horizontal="right" vertical="center" indent="1"/>
      <protection/>
    </xf>
    <xf numFmtId="0" fontId="0" fillId="0" borderId="11" xfId="53" applyBorder="1">
      <alignment/>
      <protection/>
    </xf>
    <xf numFmtId="4" fontId="0" fillId="42" borderId="12" xfId="53" applyNumberFormat="1" applyFill="1" applyBorder="1" applyAlignment="1" applyProtection="1">
      <alignment horizontal="right" vertical="center" indent="1"/>
      <protection hidden="1"/>
    </xf>
    <xf numFmtId="0" fontId="2" fillId="0" borderId="11" xfId="53" applyFont="1" applyBorder="1">
      <alignment/>
      <protection/>
    </xf>
    <xf numFmtId="0" fontId="0" fillId="0" borderId="25" xfId="53" applyBorder="1">
      <alignment/>
      <protection/>
    </xf>
    <xf numFmtId="4" fontId="0" fillId="42" borderId="25" xfId="53" applyNumberFormat="1" applyFill="1" applyBorder="1" applyAlignment="1" applyProtection="1">
      <alignment horizontal="right" vertical="center" indent="1"/>
      <protection hidden="1"/>
    </xf>
    <xf numFmtId="0" fontId="2" fillId="0" borderId="25" xfId="53" applyFont="1" applyBorder="1">
      <alignment/>
      <protection/>
    </xf>
    <xf numFmtId="4" fontId="0" fillId="42" borderId="14" xfId="53" applyNumberFormat="1" applyFill="1" applyBorder="1" applyAlignment="1" applyProtection="1">
      <alignment horizontal="right" vertical="center" indent="1"/>
      <protection hidden="1"/>
    </xf>
    <xf numFmtId="0" fontId="0" fillId="0" borderId="12" xfId="53" applyBorder="1">
      <alignment/>
      <protection/>
    </xf>
    <xf numFmtId="0" fontId="0" fillId="33" borderId="2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45" borderId="0" xfId="47" applyFill="1" applyAlignment="1" applyProtection="1">
      <alignment/>
      <protection/>
    </xf>
    <xf numFmtId="0" fontId="7" fillId="4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5" borderId="0" xfId="47" applyFill="1" applyAlignment="1" applyProtection="1">
      <alignment horizontal="left"/>
      <protection/>
    </xf>
    <xf numFmtId="0" fontId="7" fillId="45" borderId="0" xfId="0" applyFont="1" applyFill="1" applyBorder="1" applyAlignment="1">
      <alignment horizontal="right"/>
    </xf>
    <xf numFmtId="0" fontId="0" fillId="43" borderId="11" xfId="0" applyFont="1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wrapText="1"/>
    </xf>
    <xf numFmtId="0" fontId="17" fillId="37" borderId="32" xfId="0" applyFont="1" applyFill="1" applyBorder="1" applyAlignment="1">
      <alignment horizontal="center" vertical="center"/>
    </xf>
    <xf numFmtId="0" fontId="17" fillId="37" borderId="0" xfId="0" applyFont="1" applyFill="1" applyAlignment="1">
      <alignment horizontal="center" vertical="center"/>
    </xf>
    <xf numFmtId="3" fontId="0" fillId="42" borderId="14" xfId="53" applyNumberFormat="1" applyFill="1" applyBorder="1" applyAlignment="1">
      <alignment horizontal="right" vertical="center" indent="1"/>
      <protection/>
    </xf>
    <xf numFmtId="3" fontId="0" fillId="42" borderId="23" xfId="53" applyNumberFormat="1" applyFill="1" applyBorder="1" applyAlignment="1">
      <alignment horizontal="right" vertical="center" indent="1"/>
      <protection/>
    </xf>
    <xf numFmtId="3" fontId="0" fillId="42" borderId="12" xfId="53" applyNumberFormat="1" applyFill="1" applyBorder="1" applyAlignment="1">
      <alignment horizontal="right" vertical="center" indent="1"/>
      <protection/>
    </xf>
    <xf numFmtId="4" fontId="0" fillId="42" borderId="36" xfId="53" applyNumberFormat="1" applyFill="1" applyBorder="1" applyAlignment="1" applyProtection="1">
      <alignment horizontal="right" vertical="center" inden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 2" xfId="52"/>
    <cellStyle name="Standard 2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steuer@parmentier.de" TargetMode="External" /><Relationship Id="rId3" Type="http://schemas.openxmlformats.org/officeDocument/2006/relationships/hyperlink" Target="http://www.parmentier.de/steuer/lohnsteuer2016.xls" TargetMode="External" /><Relationship Id="rId4" Type="http://schemas.openxmlformats.org/officeDocument/2006/relationships/hyperlink" Target="../lohnsteuer2013_netto.xls" TargetMode="External" /><Relationship Id="rId5" Type="http://schemas.openxmlformats.org/officeDocument/2006/relationships/hyperlink" Target="http://www.parmentier.de/steuer/lohnsteuer2015_netto.xls" TargetMode="External" /><Relationship Id="rId6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59.7109375" style="0" bestFit="1" customWidth="1"/>
    <col min="2" max="2" width="13.7109375" style="0" bestFit="1" customWidth="1"/>
    <col min="3" max="3" width="3.28125" style="0" bestFit="1" customWidth="1"/>
    <col min="4" max="4" width="15.28125" style="0" customWidth="1"/>
    <col min="5" max="5" width="30.00390625" style="0" customWidth="1"/>
    <col min="6" max="6" width="2.7109375" style="0" customWidth="1"/>
    <col min="7" max="7" width="11.00390625" style="2" bestFit="1" customWidth="1"/>
    <col min="8" max="8" width="12.421875" style="1" bestFit="1" customWidth="1"/>
    <col min="9" max="9" width="9.140625" style="1" bestFit="1" customWidth="1"/>
    <col min="10" max="10" width="2.7109375" style="0" customWidth="1"/>
    <col min="11" max="11" width="16.421875" style="0" bestFit="1" customWidth="1"/>
    <col min="12" max="12" width="10.8515625" style="0" bestFit="1" customWidth="1"/>
    <col min="13" max="13" width="11.7109375" style="0" bestFit="1" customWidth="1"/>
    <col min="14" max="14" width="16.28125" style="0" bestFit="1" customWidth="1"/>
  </cols>
  <sheetData>
    <row r="1" spans="1:5" ht="64.5" customHeight="1" thickBot="1">
      <c r="A1" s="125" t="s">
        <v>135</v>
      </c>
      <c r="B1" s="49"/>
      <c r="C1" s="50"/>
      <c r="D1" s="50"/>
      <c r="E1" s="50"/>
    </row>
    <row r="2" spans="1:6" ht="16.5" thickTop="1">
      <c r="A2" s="16" t="s">
        <v>41</v>
      </c>
      <c r="B2" s="17">
        <v>50000</v>
      </c>
      <c r="C2" s="18" t="s">
        <v>42</v>
      </c>
      <c r="D2" s="7"/>
      <c r="E2" s="177" t="s">
        <v>87</v>
      </c>
      <c r="F2" s="5"/>
    </row>
    <row r="3" spans="1:6" ht="15.75">
      <c r="A3" s="23" t="s">
        <v>116</v>
      </c>
      <c r="B3" s="126">
        <v>0</v>
      </c>
      <c r="C3" s="18" t="s">
        <v>42</v>
      </c>
      <c r="D3" s="7"/>
      <c r="E3" s="178"/>
      <c r="F3" s="5"/>
    </row>
    <row r="4" spans="1:5" ht="15">
      <c r="A4" s="19" t="s">
        <v>43</v>
      </c>
      <c r="B4" s="20">
        <v>1</v>
      </c>
      <c r="C4" s="22"/>
      <c r="D4" s="7"/>
      <c r="E4" s="179"/>
    </row>
    <row r="5" spans="1:5" ht="15">
      <c r="A5" s="19" t="s">
        <v>97</v>
      </c>
      <c r="B5" s="20">
        <v>0</v>
      </c>
      <c r="C5" s="22"/>
      <c r="D5" s="7"/>
      <c r="E5" s="180"/>
    </row>
    <row r="6" spans="1:5" ht="15">
      <c r="A6" s="19" t="s">
        <v>72</v>
      </c>
      <c r="B6" s="20">
        <v>0</v>
      </c>
      <c r="C6" s="21"/>
      <c r="D6" s="7"/>
      <c r="E6" s="180"/>
    </row>
    <row r="7" spans="1:5" ht="15">
      <c r="A7" s="19" t="s">
        <v>44</v>
      </c>
      <c r="B7" s="20">
        <v>9</v>
      </c>
      <c r="C7" s="21" t="s">
        <v>45</v>
      </c>
      <c r="D7" s="7"/>
      <c r="E7" s="103"/>
    </row>
    <row r="8" spans="1:5" ht="15">
      <c r="A8" s="118" t="s">
        <v>107</v>
      </c>
      <c r="B8" s="119">
        <v>14.6</v>
      </c>
      <c r="C8" s="120" t="s">
        <v>45</v>
      </c>
      <c r="D8" s="7"/>
      <c r="E8" s="186" t="s">
        <v>110</v>
      </c>
    </row>
    <row r="9" spans="1:5" ht="15">
      <c r="A9" s="118" t="s">
        <v>73</v>
      </c>
      <c r="B9" s="119">
        <v>1.3</v>
      </c>
      <c r="C9" s="120" t="s">
        <v>45</v>
      </c>
      <c r="D9" s="8"/>
      <c r="E9" s="187"/>
    </row>
    <row r="10" spans="1:5" ht="15">
      <c r="A10" s="118" t="s">
        <v>109</v>
      </c>
      <c r="B10" s="123">
        <v>0</v>
      </c>
      <c r="C10" s="120"/>
      <c r="D10" s="8"/>
      <c r="E10" s="187"/>
    </row>
    <row r="11" spans="1:5" ht="15">
      <c r="A11" s="19" t="s">
        <v>74</v>
      </c>
      <c r="B11" s="20">
        <v>0</v>
      </c>
      <c r="C11" s="21"/>
      <c r="D11" s="8"/>
      <c r="E11" s="187"/>
    </row>
    <row r="12" spans="1:5" ht="15">
      <c r="A12" s="19" t="s">
        <v>75</v>
      </c>
      <c r="B12" s="20">
        <v>0</v>
      </c>
      <c r="C12" s="21"/>
      <c r="D12" s="7"/>
      <c r="E12" s="188"/>
    </row>
    <row r="13" spans="1:5" ht="15">
      <c r="A13" s="19" t="s">
        <v>76</v>
      </c>
      <c r="B13" s="20">
        <v>0</v>
      </c>
      <c r="C13" s="21"/>
      <c r="D13" s="7"/>
      <c r="E13" s="188"/>
    </row>
    <row r="14" spans="1:5" s="109" customFormat="1" ht="15">
      <c r="A14" s="107" t="s">
        <v>98</v>
      </c>
      <c r="B14" s="20">
        <v>0</v>
      </c>
      <c r="C14" s="21"/>
      <c r="D14" s="108"/>
      <c r="E14" s="188"/>
    </row>
    <row r="15" spans="1:5" ht="15">
      <c r="A15" s="23" t="s">
        <v>48</v>
      </c>
      <c r="B15" s="24">
        <v>0</v>
      </c>
      <c r="C15" s="25" t="s">
        <v>42</v>
      </c>
      <c r="D15" s="6"/>
      <c r="E15" s="188"/>
    </row>
    <row r="16" spans="1:5" ht="15.75" thickBot="1">
      <c r="A16" s="26" t="s">
        <v>46</v>
      </c>
      <c r="B16" s="27">
        <v>0</v>
      </c>
      <c r="C16" s="28" t="s">
        <v>42</v>
      </c>
      <c r="D16" s="6"/>
      <c r="E16" s="188"/>
    </row>
    <row r="17" spans="1:5" ht="15.75">
      <c r="A17" s="29" t="s">
        <v>29</v>
      </c>
      <c r="B17" s="30">
        <f>Berechnung!C56/100</f>
        <v>8343</v>
      </c>
      <c r="C17" s="31" t="s">
        <v>42</v>
      </c>
      <c r="D17" s="9"/>
      <c r="E17" s="104"/>
    </row>
    <row r="18" spans="1:5" ht="15.75">
      <c r="A18" s="29" t="s">
        <v>30</v>
      </c>
      <c r="B18" s="30">
        <f>Berechnung!C68/100</f>
        <v>0</v>
      </c>
      <c r="C18" s="31" t="s">
        <v>42</v>
      </c>
      <c r="D18" s="8"/>
      <c r="E18" s="178" t="s">
        <v>88</v>
      </c>
    </row>
    <row r="19" spans="1:5" ht="15.75">
      <c r="A19" s="32" t="s">
        <v>31</v>
      </c>
      <c r="B19" s="33">
        <f>ROUNDDOWN(Berechnung!C70*B7/10000,2)</f>
        <v>750.87</v>
      </c>
      <c r="C19" s="34" t="s">
        <v>42</v>
      </c>
      <c r="D19" s="8"/>
      <c r="E19" s="179"/>
    </row>
    <row r="20" spans="1:6" ht="15.75">
      <c r="A20" s="35" t="s">
        <v>114</v>
      </c>
      <c r="B20" s="36">
        <f>IF(B5=0,ROUND(IF(B2&gt;Berechnung!C9,Berechnung!C9,B2)*0.093,2),0)</f>
        <v>4650</v>
      </c>
      <c r="C20" s="37" t="s">
        <v>42</v>
      </c>
      <c r="D20" s="8"/>
      <c r="E20" s="179"/>
      <c r="F20" s="3"/>
    </row>
    <row r="21" spans="1:5" ht="15.75">
      <c r="A21" s="35" t="str">
        <f>IF(B8=0,"Privat Krankenversichert ohne Nachweis",IF(B8&gt;20,"Basisprämie KV, AG-Anteil abgezogen",(B8+B9)/2&amp;" % Krankenversicherungsbeitrag"))</f>
        <v>7,95 % Krankenversicherungsbeitrag</v>
      </c>
      <c r="B21" s="38">
        <f>IF(B8&gt;20,IF(B10=0,B8*12*Berechnung!$C$75,MAX(B8*6*Berechnung!$C$75,(B8*12-(Berechnung!I11*Berechnung!H17))*Berechnung!$C$75)),IF(B8=0,0,ROUND(IF(B2&gt;Berechnung!H17,Berechnung!H17,B2)*((B8+B9)/2*0.01),2)))</f>
        <v>3975</v>
      </c>
      <c r="C21" s="39" t="s">
        <v>42</v>
      </c>
      <c r="D21" s="8"/>
      <c r="E21" s="179"/>
    </row>
    <row r="22" spans="1:5" ht="15.75">
      <c r="A22" s="35" t="str">
        <f>IF(B13=1,2.035,1.525)+IF(B11=1,0.25,0)&amp;"% Pflegeversicherung"</f>
        <v>1,525% Pflegeversicherung</v>
      </c>
      <c r="B22" s="40">
        <f>IF(B8&gt;20,0,IF(B8=0,0,ROUND(IF(B2&gt;Berechnung!H17,Berechnung!H17,B2),2)))*Berechnung!C11</f>
        <v>762.5</v>
      </c>
      <c r="C22" s="39" t="s">
        <v>42</v>
      </c>
      <c r="D22" s="8"/>
      <c r="E22" s="4"/>
    </row>
    <row r="23" spans="1:5" ht="15.75">
      <c r="A23" s="35" t="s">
        <v>128</v>
      </c>
      <c r="B23" s="40">
        <f>IF(B5=0,ROUND(IF(B2&gt;Berechnung!C9,Berechnung!C9,B2)*Berechnung!I6,2),0)</f>
        <v>600</v>
      </c>
      <c r="C23" s="39" t="s">
        <v>42</v>
      </c>
      <c r="D23" s="8"/>
      <c r="E23" s="4"/>
    </row>
    <row r="24" spans="1:5" ht="15.75">
      <c r="A24" s="15" t="s">
        <v>47</v>
      </c>
      <c r="B24" s="41">
        <f>SUM(B17:B23)</f>
        <v>19081.37</v>
      </c>
      <c r="C24" s="42" t="s">
        <v>42</v>
      </c>
      <c r="D24" s="8"/>
      <c r="E24" s="52"/>
    </row>
    <row r="25" spans="1:5" ht="18">
      <c r="A25" s="11" t="s">
        <v>117</v>
      </c>
      <c r="B25" s="12">
        <f>SUM(B2,B3,-B24)</f>
        <v>30918.63</v>
      </c>
      <c r="C25" s="13" t="s">
        <v>42</v>
      </c>
      <c r="D25" s="10"/>
      <c r="E25" s="105" t="s">
        <v>136</v>
      </c>
    </row>
    <row r="26" spans="1:5" ht="12.75">
      <c r="A26" s="185" t="s">
        <v>53</v>
      </c>
      <c r="B26" s="185"/>
      <c r="C26" s="181" t="s">
        <v>115</v>
      </c>
      <c r="D26" s="181"/>
      <c r="E26" s="181"/>
    </row>
    <row r="27" spans="1:5" ht="12.75">
      <c r="A27" s="182" t="s">
        <v>61</v>
      </c>
      <c r="B27" s="183"/>
      <c r="C27" s="184" t="s">
        <v>62</v>
      </c>
      <c r="D27" s="184"/>
      <c r="E27" s="184"/>
    </row>
    <row r="36" ht="12.75">
      <c r="O36" s="45"/>
    </row>
    <row r="37" ht="12.75">
      <c r="O37" s="45"/>
    </row>
    <row r="38" ht="12.75">
      <c r="O38" s="45"/>
    </row>
    <row r="39" ht="12.75">
      <c r="O39" s="45"/>
    </row>
    <row r="40" ht="12.75">
      <c r="O40" s="45"/>
    </row>
    <row r="41" ht="12.75">
      <c r="O41" s="45"/>
    </row>
    <row r="42" ht="12.75">
      <c r="O42" s="45"/>
    </row>
  </sheetData>
  <sheetProtection/>
  <mergeCells count="7">
    <mergeCell ref="E2:E6"/>
    <mergeCell ref="C26:E26"/>
    <mergeCell ref="A27:B27"/>
    <mergeCell ref="C27:E27"/>
    <mergeCell ref="A26:B26"/>
    <mergeCell ref="E18:E21"/>
    <mergeCell ref="E8:E16"/>
  </mergeCells>
  <conditionalFormatting sqref="B14">
    <cfRule type="cellIs" priority="1" dxfId="0" operator="between" stopIfTrue="1">
      <formula>0</formula>
      <formula>5</formula>
    </cfRule>
  </conditionalFormatting>
  <dataValidations count="11">
    <dataValidation type="list" allowBlank="1" showInputMessage="1" showErrorMessage="1" sqref="B4">
      <formula1>"1,2,3,4"</formula1>
    </dataValidation>
    <dataValidation type="list" operator="notBetween" allowBlank="1" showInputMessage="1" showErrorMessage="1" promptTitle="Kirchensteuer" prompt="Die Kirchensteuer beträgt in Bayern und Baden-Württemberg 8%, sonst 9%" sqref="B7">
      <formula1>"0,8,9"</formula1>
    </dataValidation>
    <dataValidation type="list" allowBlank="1" showInputMessage="1" showErrorMessage="1" sqref="B6">
      <formula1>"0,0,5,1,1,5,2,2,5,3,3,5,4,4,5,5,5,5,6"</formula1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8"/>
    <dataValidation type="list" allowBlank="1" showInputMessage="1" showErrorMessage="1" promptTitle="Sonderabgabe Pflegeversicherung" prompt="Über 23jährige, die kein Elterteil sind, zahlen 0,35% mehr in die Pflegeversicherung" sqref="B11">
      <formula1>"0,1"</formula1>
    </dataValidation>
    <dataValidation type="list" allowBlank="1" showInputMessage="1" showErrorMessage="1" promptTitle="Bemessungsgrenze Sozialversicher" prompt="Die Bemessungsgrenzen der Rentenversicherung unterscheidet sich in den neuen und alten Bundesländern." sqref="B12">
      <formula1>"0,1"</formula1>
    </dataValidation>
    <dataValidation type="list" allowBlank="1" showInputMessage="1" showErrorMessage="1" promptTitle="Pflegeversicherung in Sachsen" prompt="Sachsen bezahlen auch 0,5% mehr für die Pflegeversicherung. Dafür haben sie den Buß- und Bettag als Feiertag behalten." sqref="B13">
      <formula1>"0,1"</formula1>
    </dataValidation>
    <dataValidation allowBlank="1" showInputMessage="1" showErrorMessage="1" promptTitle="Krankenkassenzusatzbeitragssatz" prompt="Der Krankenkassenzusatzbeitragssatz, den der Arbeitnehmer und der Arbeitgeber seit 2019  jeweils zur Hälfte tragen, wird seit 2014 von jeder Krankenkasse selbst festgelegt." sqref="B9"/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5">
      <formula1>"0,1"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1951=12, 1952=13, 1953=14; 1954=15, 1955=16, 1956=17, 1957=18, nach 1957=0" sqref="B14">
      <formula1>"0,1,2,3,4,5,6,7,8,9,10,11,12,13,14,15,16,17,18"</formula1>
    </dataValidation>
    <dataValidation type="list" allowBlank="1" showInputMessage="1" showErrorMessage="1" sqref="B10">
      <formula1>"0,1"</formula1>
    </dataValidation>
  </dataValidations>
  <hyperlinks>
    <hyperlink ref="C27:E27" r:id="rId1" display="parmentier.ffm@t-online.de"/>
    <hyperlink ref="C27" r:id="rId2" display="steuer@parmentier.de"/>
    <hyperlink ref="C28" r:id="rId3" display="http://www.parmentier.de/steuer/lohnsteuer2016.xls"/>
    <hyperlink ref="C29:E29" r:id="rId4" display="http://www.parmentier.de/steuer/lohnsteuer2013_netto.xls"/>
    <hyperlink ref="C29" r:id="rId5" display="http://www.parmentier.de/steuer/lohnsteuer2015_netto.xls"/>
    <hyperlink ref="C26" r:id="rId6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="115" zoomScaleNormal="115" zoomScalePageLayoutView="0" workbookViewId="0" topLeftCell="A15">
      <selection activeCell="I36" sqref="I36"/>
    </sheetView>
  </sheetViews>
  <sheetFormatPr defaultColWidth="11.421875" defaultRowHeight="12.75"/>
  <cols>
    <col min="1" max="1" width="11.8515625" style="0" bestFit="1" customWidth="1"/>
    <col min="2" max="2" width="12.00390625" style="0" bestFit="1" customWidth="1"/>
    <col min="3" max="3" width="11.7109375" style="0" bestFit="1" customWidth="1"/>
    <col min="4" max="4" width="11.7109375" style="142" customWidth="1"/>
    <col min="5" max="5" width="18.28125" style="0" bestFit="1" customWidth="1"/>
    <col min="6" max="6" width="14.28125" style="0" bestFit="1" customWidth="1"/>
    <col min="7" max="7" width="16.8515625" style="0" bestFit="1" customWidth="1"/>
  </cols>
  <sheetData>
    <row r="1" spans="1:15" ht="27" thickBot="1">
      <c r="A1" s="71" t="s">
        <v>96</v>
      </c>
      <c r="B1" s="72">
        <v>2022</v>
      </c>
      <c r="C1" s="73"/>
      <c r="D1" s="139"/>
      <c r="E1" s="127" t="s">
        <v>119</v>
      </c>
      <c r="G1" s="64" t="str">
        <f>"SOZ-VS-BEITRAGSSÄTZE  "&amp;BearbJahr</f>
        <v>SOZ-VS-BEITRAGSSÄTZE  2022</v>
      </c>
      <c r="H1" s="43"/>
      <c r="I1" s="44"/>
      <c r="K1" s="189" t="s">
        <v>98</v>
      </c>
      <c r="L1" s="190"/>
      <c r="M1" s="190"/>
      <c r="N1" s="190"/>
      <c r="O1" s="190"/>
    </row>
    <row r="2" spans="1:15" ht="15.75" thickBot="1">
      <c r="A2" s="74" t="s">
        <v>71</v>
      </c>
      <c r="B2" s="75" t="s">
        <v>3</v>
      </c>
      <c r="C2" s="84">
        <f>IF(Eingabe!B4&gt;4,0,Eingabe!B6)</f>
        <v>0</v>
      </c>
      <c r="D2" s="77"/>
      <c r="E2" s="77"/>
      <c r="G2" s="66" t="s">
        <v>83</v>
      </c>
      <c r="H2" s="67" t="s">
        <v>94</v>
      </c>
      <c r="I2" s="68" t="s">
        <v>89</v>
      </c>
      <c r="K2" s="153" t="s">
        <v>129</v>
      </c>
      <c r="L2" s="153" t="s">
        <v>130</v>
      </c>
      <c r="M2" s="153" t="s">
        <v>131</v>
      </c>
      <c r="N2" s="153" t="s">
        <v>100</v>
      </c>
      <c r="O2" s="153" t="s">
        <v>101</v>
      </c>
    </row>
    <row r="3" spans="1:15" ht="12.75">
      <c r="A3" s="76"/>
      <c r="B3" s="77" t="s">
        <v>1</v>
      </c>
      <c r="C3" s="85">
        <v>1</v>
      </c>
      <c r="D3" s="77"/>
      <c r="E3" s="77"/>
      <c r="G3" s="46" t="s">
        <v>77</v>
      </c>
      <c r="H3" s="158">
        <v>0.146</v>
      </c>
      <c r="I3" s="159">
        <f>H3/2+H4</f>
        <v>0.086</v>
      </c>
      <c r="K3" s="154"/>
      <c r="L3" s="154"/>
      <c r="M3" s="154">
        <v>0</v>
      </c>
      <c r="N3" s="154">
        <v>0</v>
      </c>
      <c r="O3" s="154">
        <v>0</v>
      </c>
    </row>
    <row r="4" spans="1:15" ht="12.75">
      <c r="A4" s="76"/>
      <c r="B4" s="77" t="s">
        <v>0</v>
      </c>
      <c r="C4" s="85">
        <f>Eingabe!B5</f>
        <v>0</v>
      </c>
      <c r="D4" s="77"/>
      <c r="E4" s="77"/>
      <c r="G4" s="47" t="s">
        <v>78</v>
      </c>
      <c r="H4" s="160">
        <f>Eingabe!B9/100</f>
        <v>0.013</v>
      </c>
      <c r="I4" s="159">
        <f>H4/2+0.07</f>
        <v>0.0765</v>
      </c>
      <c r="K4" s="155" t="s">
        <v>132</v>
      </c>
      <c r="L4" s="155" t="s">
        <v>133</v>
      </c>
      <c r="M4" s="154">
        <v>1</v>
      </c>
      <c r="N4" s="154">
        <v>0.4</v>
      </c>
      <c r="O4" s="154">
        <v>1900</v>
      </c>
    </row>
    <row r="5" spans="1:15" ht="12.75">
      <c r="A5" s="76"/>
      <c r="B5" s="77" t="s">
        <v>54</v>
      </c>
      <c r="C5" s="86">
        <f>ROUNDDOWN(IF(C3=1,Eingabe!B2*100,IF(C3=2,(Eingabe!B2*100)*12,IF(C3=3,((Eingabe!B2*100)*360)/7,(Eingabe!B2*100)*360))),2)</f>
        <v>5000000</v>
      </c>
      <c r="D5" s="128"/>
      <c r="E5" s="128">
        <f>Eingabe!B3</f>
        <v>0</v>
      </c>
      <c r="G5" s="46" t="s">
        <v>79</v>
      </c>
      <c r="H5" s="161">
        <v>0.186</v>
      </c>
      <c r="I5" s="159">
        <f>H5/2</f>
        <v>0.093</v>
      </c>
      <c r="K5" s="154">
        <v>1941</v>
      </c>
      <c r="L5" s="154">
        <v>2006</v>
      </c>
      <c r="M5" s="154">
        <v>2</v>
      </c>
      <c r="N5" s="154">
        <v>0.384</v>
      </c>
      <c r="O5" s="154">
        <v>1824</v>
      </c>
    </row>
    <row r="6" spans="1:15" ht="12.75">
      <c r="A6" s="76"/>
      <c r="B6" s="77" t="s">
        <v>2</v>
      </c>
      <c r="C6" s="87">
        <f>Eingabe!B4</f>
        <v>1</v>
      </c>
      <c r="D6" s="129"/>
      <c r="E6" s="129"/>
      <c r="G6" s="47" t="s">
        <v>80</v>
      </c>
      <c r="H6" s="160">
        <v>0.024</v>
      </c>
      <c r="I6" s="159">
        <f>H6/2</f>
        <v>0.012</v>
      </c>
      <c r="K6" s="154">
        <v>1942</v>
      </c>
      <c r="L6" s="154">
        <v>2007</v>
      </c>
      <c r="M6" s="154">
        <v>3</v>
      </c>
      <c r="N6" s="154">
        <v>0.368</v>
      </c>
      <c r="O6" s="154">
        <v>1748</v>
      </c>
    </row>
    <row r="7" spans="1:15" ht="12.75">
      <c r="A7" s="76"/>
      <c r="B7" s="77" t="s">
        <v>55</v>
      </c>
      <c r="C7" s="88">
        <f>IF(C6=6,0,Eingabe!B15*100)</f>
        <v>0</v>
      </c>
      <c r="D7" s="130"/>
      <c r="E7" s="130"/>
      <c r="G7" s="47" t="s">
        <v>81</v>
      </c>
      <c r="H7" s="160">
        <v>0.0305</v>
      </c>
      <c r="I7" s="159">
        <f>IF(AND(Eingabe!B11=1,Eingabe!B13=1),H8+H9,IF(Eingabe!B13=1,H8,IF(AND(Eingabe!B6=0,Eingabe!B11=1),H7/2+H9,H7/2)))</f>
        <v>0.01525</v>
      </c>
      <c r="J7" s="45" t="s">
        <v>95</v>
      </c>
      <c r="K7" s="154">
        <v>1943</v>
      </c>
      <c r="L7" s="154">
        <v>2008</v>
      </c>
      <c r="M7" s="154">
        <v>4</v>
      </c>
      <c r="N7" s="154">
        <v>0.352</v>
      </c>
      <c r="O7" s="154">
        <v>1672</v>
      </c>
    </row>
    <row r="8" spans="1:15" ht="12.75">
      <c r="A8" s="76"/>
      <c r="B8" s="77" t="s">
        <v>56</v>
      </c>
      <c r="C8" s="89">
        <f>Eingabe!B16*100</f>
        <v>0</v>
      </c>
      <c r="D8" s="131"/>
      <c r="E8" s="131"/>
      <c r="G8" s="47" t="s">
        <v>82</v>
      </c>
      <c r="H8" s="158">
        <v>0.02025</v>
      </c>
      <c r="I8" s="150"/>
      <c r="K8" s="154">
        <v>1944</v>
      </c>
      <c r="L8" s="154">
        <v>2009</v>
      </c>
      <c r="M8" s="154">
        <v>5</v>
      </c>
      <c r="N8" s="154">
        <v>0.336</v>
      </c>
      <c r="O8" s="154">
        <v>1596</v>
      </c>
    </row>
    <row r="9" spans="1:15" ht="12.75">
      <c r="A9" s="76"/>
      <c r="B9" s="78" t="s">
        <v>63</v>
      </c>
      <c r="C9" s="90">
        <f>IF(Eingabe!B12=0,H15,H16)</f>
        <v>84600</v>
      </c>
      <c r="D9" s="132"/>
      <c r="E9" s="132"/>
      <c r="G9" s="121" t="s">
        <v>86</v>
      </c>
      <c r="H9" s="158">
        <v>0.0035</v>
      </c>
      <c r="I9" s="151"/>
      <c r="J9" s="45"/>
      <c r="K9" s="154">
        <v>1945</v>
      </c>
      <c r="L9" s="154">
        <v>2010</v>
      </c>
      <c r="M9" s="154">
        <v>6</v>
      </c>
      <c r="N9" s="154">
        <v>0.32</v>
      </c>
      <c r="O9" s="154">
        <v>1520</v>
      </c>
    </row>
    <row r="10" spans="1:15" ht="12.75">
      <c r="A10" s="76"/>
      <c r="B10" s="117" t="s">
        <v>108</v>
      </c>
      <c r="C10" s="90">
        <f>IF(Eingabe!$B$8&gt;20,MAX($C$31,ROUNDDOWN(Eingabe!$B$8*12,2)-IF(Eingabe!$B$10=1,IF(Eingabe!$B$12=1,SUM(H11,H7,-H8),SUM(H11,H7/2))*MIN(C5/100,H17),0)),0)</f>
        <v>0</v>
      </c>
      <c r="D10" s="132"/>
      <c r="E10" s="132"/>
      <c r="G10" s="121" t="s">
        <v>127</v>
      </c>
      <c r="H10" s="158">
        <v>0.013</v>
      </c>
      <c r="I10" s="151"/>
      <c r="K10" s="154">
        <v>1946</v>
      </c>
      <c r="L10" s="154">
        <v>2011</v>
      </c>
      <c r="M10" s="154">
        <v>7</v>
      </c>
      <c r="N10" s="154">
        <v>0.304</v>
      </c>
      <c r="O10" s="154">
        <v>1444</v>
      </c>
    </row>
    <row r="11" spans="1:15" ht="12.75">
      <c r="A11" s="79"/>
      <c r="B11" s="77" t="s">
        <v>59</v>
      </c>
      <c r="C11" s="91">
        <f>IF(AND(Eingabe!B11=1,Eingabe!B13=1),H8+H9,IF(Eingabe!B13=1,H8,IF(AND(Eingabe!B6=0,Eingabe!B11=1),H7/2+H9,H7/2)))</f>
        <v>0.01525</v>
      </c>
      <c r="D11" s="133"/>
      <c r="E11" s="133"/>
      <c r="G11" s="121" t="s">
        <v>111</v>
      </c>
      <c r="H11" s="122">
        <v>0.0765</v>
      </c>
      <c r="I11" s="150">
        <f>H3/2+H7-I7+H10/2</f>
        <v>0.09475</v>
      </c>
      <c r="J11" s="152" t="s">
        <v>126</v>
      </c>
      <c r="K11" s="154">
        <v>1947</v>
      </c>
      <c r="L11" s="154">
        <v>2012</v>
      </c>
      <c r="M11" s="154">
        <v>8</v>
      </c>
      <c r="N11" s="154">
        <v>0.288</v>
      </c>
      <c r="O11" s="154">
        <v>1368</v>
      </c>
    </row>
    <row r="12" spans="1:15" ht="12.75">
      <c r="A12" s="76"/>
      <c r="B12" s="77" t="s">
        <v>60</v>
      </c>
      <c r="C12" s="92">
        <v>1</v>
      </c>
      <c r="D12" s="134"/>
      <c r="E12" s="134"/>
      <c r="G12" s="45"/>
      <c r="H12" s="45"/>
      <c r="I12" s="45"/>
      <c r="K12" s="154">
        <v>1948</v>
      </c>
      <c r="L12" s="154">
        <v>2013</v>
      </c>
      <c r="M12" s="154">
        <v>9</v>
      </c>
      <c r="N12" s="154">
        <v>0.272</v>
      </c>
      <c r="O12" s="154">
        <v>1292</v>
      </c>
    </row>
    <row r="13" spans="1:15" s="1" customFormat="1" ht="16.5">
      <c r="A13" s="110" t="s">
        <v>99</v>
      </c>
      <c r="B13" s="114" t="s">
        <v>100</v>
      </c>
      <c r="C13" s="93">
        <f>VLOOKUP(Eingabe!B14,M3:N21,2,FALSE)</f>
        <v>0</v>
      </c>
      <c r="D13" s="77"/>
      <c r="E13" s="77"/>
      <c r="F13" s="111"/>
      <c r="G13" s="65" t="s">
        <v>90</v>
      </c>
      <c r="H13" s="54"/>
      <c r="I13" s="55"/>
      <c r="J13"/>
      <c r="K13" s="154">
        <v>1949</v>
      </c>
      <c r="L13" s="154">
        <v>2014</v>
      </c>
      <c r="M13" s="154">
        <v>10</v>
      </c>
      <c r="N13" s="154">
        <v>0.256</v>
      </c>
      <c r="O13" s="154">
        <v>1216</v>
      </c>
    </row>
    <row r="14" spans="1:15" s="1" customFormat="1" ht="15.75" thickBot="1">
      <c r="A14" s="112"/>
      <c r="B14" s="1" t="s">
        <v>101</v>
      </c>
      <c r="C14" s="85">
        <f>VLOOKUP(Eingabe!B14,M3:O21,3,FALSE)</f>
        <v>0</v>
      </c>
      <c r="D14" s="77"/>
      <c r="E14" s="77"/>
      <c r="F14" s="111"/>
      <c r="G14" s="69" t="s">
        <v>92</v>
      </c>
      <c r="H14" s="70" t="s">
        <v>91</v>
      </c>
      <c r="I14" s="69" t="s">
        <v>93</v>
      </c>
      <c r="J14" s="106"/>
      <c r="K14" s="154">
        <v>1950</v>
      </c>
      <c r="L14" s="154">
        <v>2015</v>
      </c>
      <c r="M14" s="154">
        <v>11</v>
      </c>
      <c r="N14" s="156">
        <v>0.24</v>
      </c>
      <c r="O14" s="156">
        <v>1140</v>
      </c>
    </row>
    <row r="15" spans="2:15" s="1" customFormat="1" ht="13.5" thickTop="1">
      <c r="B15" s="1" t="s">
        <v>102</v>
      </c>
      <c r="C15" s="85">
        <f>C14</f>
        <v>0</v>
      </c>
      <c r="D15" s="77"/>
      <c r="E15" s="77"/>
      <c r="F15" s="111"/>
      <c r="G15" s="46" t="s">
        <v>63</v>
      </c>
      <c r="H15" s="162">
        <v>84600</v>
      </c>
      <c r="I15" s="56" t="s">
        <v>71</v>
      </c>
      <c r="J15" s="106"/>
      <c r="K15" s="154">
        <v>1951</v>
      </c>
      <c r="L15" s="154">
        <v>2016</v>
      </c>
      <c r="M15" s="154">
        <v>12</v>
      </c>
      <c r="N15" s="156">
        <v>0.224</v>
      </c>
      <c r="O15" s="156">
        <v>1064</v>
      </c>
    </row>
    <row r="16" spans="2:15" s="1" customFormat="1" ht="12.75">
      <c r="B16" s="1" t="s">
        <v>103</v>
      </c>
      <c r="C16" s="85">
        <f>IF(Eingabe!B14=0,0,IF((C5*C13)&gt;C15,C15,C5*C13))</f>
        <v>0</v>
      </c>
      <c r="D16" s="77"/>
      <c r="E16" s="77"/>
      <c r="F16" s="111"/>
      <c r="G16" s="46" t="s">
        <v>63</v>
      </c>
      <c r="H16" s="163">
        <v>81000</v>
      </c>
      <c r="I16" s="57"/>
      <c r="J16" s="106"/>
      <c r="K16" s="154">
        <v>1952</v>
      </c>
      <c r="L16" s="154">
        <v>2017</v>
      </c>
      <c r="M16" s="154">
        <v>13</v>
      </c>
      <c r="N16" s="156">
        <v>0.208</v>
      </c>
      <c r="O16" s="156">
        <v>988</v>
      </c>
    </row>
    <row r="17" spans="2:15" s="1" customFormat="1" ht="12.75">
      <c r="B17" s="1" t="s">
        <v>104</v>
      </c>
      <c r="C17" s="94">
        <f>C5-C8+C7-C16</f>
        <v>5000000</v>
      </c>
      <c r="D17" s="135"/>
      <c r="E17" s="135"/>
      <c r="F17" s="111"/>
      <c r="G17" s="46" t="s">
        <v>67</v>
      </c>
      <c r="H17" s="162">
        <v>58050</v>
      </c>
      <c r="I17" s="57"/>
      <c r="J17" s="106"/>
      <c r="K17" s="154">
        <v>1953</v>
      </c>
      <c r="L17" s="154">
        <v>2018</v>
      </c>
      <c r="M17" s="154">
        <v>14</v>
      </c>
      <c r="N17" s="156">
        <v>0.192</v>
      </c>
      <c r="O17" s="156">
        <v>912</v>
      </c>
    </row>
    <row r="18" spans="2:15" s="1" customFormat="1" ht="12.75">
      <c r="B18" s="1" t="s">
        <v>28</v>
      </c>
      <c r="C18" s="94">
        <f>C5</f>
        <v>5000000</v>
      </c>
      <c r="D18" s="135"/>
      <c r="E18" s="135"/>
      <c r="F18" s="111"/>
      <c r="G18" s="47" t="s">
        <v>68</v>
      </c>
      <c r="H18" s="164">
        <v>0.0765</v>
      </c>
      <c r="I18" s="57"/>
      <c r="J18" s="106"/>
      <c r="K18" s="154">
        <v>1954</v>
      </c>
      <c r="L18" s="154">
        <v>2019</v>
      </c>
      <c r="M18" s="154">
        <v>15</v>
      </c>
      <c r="N18" s="156">
        <v>0.176</v>
      </c>
      <c r="O18" s="156">
        <v>836</v>
      </c>
    </row>
    <row r="19" spans="3:15" s="1" customFormat="1" ht="12.75">
      <c r="C19" s="85"/>
      <c r="D19" s="77"/>
      <c r="E19" s="77"/>
      <c r="F19" s="111"/>
      <c r="G19" s="51" t="s">
        <v>70</v>
      </c>
      <c r="H19" s="165">
        <v>0.88</v>
      </c>
      <c r="I19" s="57"/>
      <c r="J19" s="106"/>
      <c r="K19" s="154">
        <v>1955</v>
      </c>
      <c r="L19" s="154">
        <v>2020</v>
      </c>
      <c r="M19" s="154">
        <v>16</v>
      </c>
      <c r="N19" s="156">
        <v>0.16</v>
      </c>
      <c r="O19" s="156">
        <v>760</v>
      </c>
    </row>
    <row r="20" spans="1:15" s="1" customFormat="1" ht="12.75">
      <c r="A20" s="110" t="s">
        <v>105</v>
      </c>
      <c r="B20" s="113" t="s">
        <v>104</v>
      </c>
      <c r="C20" s="93">
        <f>C17/100</f>
        <v>50000</v>
      </c>
      <c r="D20" s="77"/>
      <c r="E20" s="77"/>
      <c r="F20" s="111"/>
      <c r="G20" s="61" t="s">
        <v>64</v>
      </c>
      <c r="H20" s="166">
        <v>11480</v>
      </c>
      <c r="I20" s="57"/>
      <c r="J20" s="106"/>
      <c r="K20" s="154">
        <v>1956</v>
      </c>
      <c r="L20" s="154">
        <v>2021</v>
      </c>
      <c r="M20" s="154">
        <v>17</v>
      </c>
      <c r="N20" s="156">
        <v>0.152</v>
      </c>
      <c r="O20" s="156">
        <v>722</v>
      </c>
    </row>
    <row r="21" spans="2:15" s="1" customFormat="1" ht="12.75">
      <c r="B21" s="1" t="s">
        <v>28</v>
      </c>
      <c r="C21" s="85">
        <f>C18/100</f>
        <v>50000</v>
      </c>
      <c r="D21" s="77"/>
      <c r="E21" s="77"/>
      <c r="F21" s="111"/>
      <c r="G21" s="61" t="s">
        <v>65</v>
      </c>
      <c r="H21" s="166">
        <v>29298</v>
      </c>
      <c r="I21" s="57"/>
      <c r="J21" s="106"/>
      <c r="K21" s="154">
        <v>1957</v>
      </c>
      <c r="L21" s="154">
        <v>2022</v>
      </c>
      <c r="M21" s="154">
        <v>18</v>
      </c>
      <c r="N21" s="156">
        <v>0.144</v>
      </c>
      <c r="O21" s="156">
        <v>684</v>
      </c>
    </row>
    <row r="22" spans="3:15" s="1" customFormat="1" ht="12.75">
      <c r="C22" s="85"/>
      <c r="D22" s="77"/>
      <c r="E22" s="77"/>
      <c r="F22" s="111"/>
      <c r="G22" s="61" t="s">
        <v>66</v>
      </c>
      <c r="H22" s="166">
        <v>222260</v>
      </c>
      <c r="I22" s="57"/>
      <c r="J22" s="106"/>
      <c r="K22">
        <v>1958</v>
      </c>
      <c r="L22">
        <v>2023</v>
      </c>
      <c r="M22">
        <v>19</v>
      </c>
      <c r="N22" s="157">
        <v>0.136</v>
      </c>
      <c r="O22" s="157">
        <v>646</v>
      </c>
    </row>
    <row r="23" spans="1:15" ht="12.75">
      <c r="A23" s="80" t="s">
        <v>5</v>
      </c>
      <c r="B23" s="81" t="s">
        <v>6</v>
      </c>
      <c r="C23" s="93">
        <f>IF(C6=3,2,1)</f>
        <v>1</v>
      </c>
      <c r="D23" s="77"/>
      <c r="E23" s="77"/>
      <c r="G23" s="61" t="s">
        <v>69</v>
      </c>
      <c r="H23" s="166">
        <v>9984</v>
      </c>
      <c r="I23" s="57"/>
      <c r="J23" s="106"/>
      <c r="K23">
        <v>1959</v>
      </c>
      <c r="L23">
        <v>2024</v>
      </c>
      <c r="M23">
        <v>20</v>
      </c>
      <c r="N23" s="157">
        <v>0.128</v>
      </c>
      <c r="O23" s="157">
        <v>608</v>
      </c>
    </row>
    <row r="24" spans="1:15" ht="13.5" thickBot="1">
      <c r="A24" s="82"/>
      <c r="B24" s="77" t="s">
        <v>7</v>
      </c>
      <c r="C24" s="94">
        <f>H25</f>
        <v>1000</v>
      </c>
      <c r="D24" s="135"/>
      <c r="E24" s="135"/>
      <c r="G24" s="62" t="s">
        <v>24</v>
      </c>
      <c r="H24" s="167">
        <v>16956</v>
      </c>
      <c r="I24" s="58"/>
      <c r="K24">
        <v>1960</v>
      </c>
      <c r="L24">
        <v>2025</v>
      </c>
      <c r="M24">
        <v>21</v>
      </c>
      <c r="N24">
        <v>0.12</v>
      </c>
      <c r="O24">
        <v>570</v>
      </c>
    </row>
    <row r="25" spans="1:15" ht="13.5" thickTop="1">
      <c r="A25" s="82"/>
      <c r="B25" s="77" t="s">
        <v>34</v>
      </c>
      <c r="C25" s="85">
        <f>IF(C6=2,H26,0)</f>
        <v>0</v>
      </c>
      <c r="D25" s="77"/>
      <c r="E25" s="77"/>
      <c r="G25" s="47" t="s">
        <v>7</v>
      </c>
      <c r="H25" s="191">
        <v>1000</v>
      </c>
      <c r="I25" s="59" t="s">
        <v>5</v>
      </c>
      <c r="K25">
        <v>1961</v>
      </c>
      <c r="L25">
        <v>2026</v>
      </c>
      <c r="M25">
        <v>22</v>
      </c>
      <c r="N25">
        <v>0.112</v>
      </c>
      <c r="O25">
        <v>532</v>
      </c>
    </row>
    <row r="26" spans="1:15" ht="12.75">
      <c r="A26" s="76"/>
      <c r="B26" s="77" t="s">
        <v>8</v>
      </c>
      <c r="C26" s="85">
        <f>IF(C6&gt;5,0,H27)</f>
        <v>36</v>
      </c>
      <c r="D26" s="77"/>
      <c r="E26" s="77"/>
      <c r="G26" s="47" t="s">
        <v>34</v>
      </c>
      <c r="H26" s="163">
        <v>4008</v>
      </c>
      <c r="I26" s="57"/>
      <c r="K26">
        <v>1962</v>
      </c>
      <c r="L26">
        <v>2027</v>
      </c>
      <c r="M26">
        <v>23</v>
      </c>
      <c r="N26">
        <v>0.104</v>
      </c>
      <c r="O26">
        <v>494</v>
      </c>
    </row>
    <row r="27" spans="1:15" ht="12.75">
      <c r="A27" s="76"/>
      <c r="B27" s="77" t="s">
        <v>9</v>
      </c>
      <c r="C27" s="85">
        <f>IF(C6&lt;4,C2*H28,IF(C6=4,C2*H28/2,0))</f>
        <v>0</v>
      </c>
      <c r="D27" s="77"/>
      <c r="E27" s="77"/>
      <c r="G27" s="51" t="s">
        <v>8</v>
      </c>
      <c r="H27" s="192">
        <v>36</v>
      </c>
      <c r="I27" s="57"/>
      <c r="K27">
        <v>1963</v>
      </c>
      <c r="L27">
        <v>2028</v>
      </c>
      <c r="M27">
        <v>24</v>
      </c>
      <c r="N27">
        <v>0.096</v>
      </c>
      <c r="O27">
        <v>456</v>
      </c>
    </row>
    <row r="28" spans="1:15" ht="13.5" thickBot="1">
      <c r="A28" s="76"/>
      <c r="B28" s="77" t="s">
        <v>10</v>
      </c>
      <c r="C28" s="94">
        <f>IF(C6=6,0,C24+C25+C26)</f>
        <v>1036</v>
      </c>
      <c r="D28" s="135"/>
      <c r="E28" s="135"/>
      <c r="G28" s="48" t="s">
        <v>9</v>
      </c>
      <c r="H28" s="168">
        <v>8388</v>
      </c>
      <c r="I28" s="58"/>
      <c r="K28">
        <v>1964</v>
      </c>
      <c r="L28">
        <v>2029</v>
      </c>
      <c r="M28">
        <v>25</v>
      </c>
      <c r="N28">
        <v>0.088</v>
      </c>
      <c r="O28">
        <v>418</v>
      </c>
    </row>
    <row r="29" spans="1:15" ht="13.5" thickTop="1">
      <c r="A29" s="80" t="s">
        <v>36</v>
      </c>
      <c r="B29" s="81" t="s">
        <v>28</v>
      </c>
      <c r="C29" s="95">
        <f>MIN(C9,C21)</f>
        <v>50000</v>
      </c>
      <c r="D29" s="135"/>
      <c r="E29" s="135"/>
      <c r="G29" s="46" t="s">
        <v>84</v>
      </c>
      <c r="H29" s="193">
        <v>1900</v>
      </c>
      <c r="I29" s="60" t="s">
        <v>36</v>
      </c>
      <c r="K29">
        <v>1965</v>
      </c>
      <c r="L29">
        <v>2030</v>
      </c>
      <c r="M29">
        <v>26</v>
      </c>
      <c r="N29">
        <v>0.08</v>
      </c>
      <c r="O29">
        <v>380</v>
      </c>
    </row>
    <row r="30" spans="1:15" ht="13.5" thickBot="1">
      <c r="A30" s="76"/>
      <c r="B30" s="77" t="s">
        <v>37</v>
      </c>
      <c r="C30" s="96">
        <f>IF(C4=1,0,ROUNDDOWN(H19*C29*I5,2))</f>
        <v>4092</v>
      </c>
      <c r="D30" s="136"/>
      <c r="E30" s="136"/>
      <c r="G30" s="48" t="s">
        <v>84</v>
      </c>
      <c r="H30" s="168">
        <v>3000</v>
      </c>
      <c r="I30" s="58"/>
      <c r="K30">
        <v>1966</v>
      </c>
      <c r="L30">
        <v>2031</v>
      </c>
      <c r="M30">
        <v>27</v>
      </c>
      <c r="N30">
        <v>0.072</v>
      </c>
      <c r="O30">
        <v>342</v>
      </c>
    </row>
    <row r="31" spans="1:15" ht="13.5" thickTop="1">
      <c r="A31" s="76"/>
      <c r="B31" s="78" t="s">
        <v>39</v>
      </c>
      <c r="C31" s="96">
        <f>IF(C23=1,H29,H30)</f>
        <v>1900</v>
      </c>
      <c r="D31" s="136"/>
      <c r="E31" s="136"/>
      <c r="G31" s="63"/>
      <c r="H31" s="170">
        <v>0.42</v>
      </c>
      <c r="I31" s="56" t="s">
        <v>16</v>
      </c>
      <c r="K31">
        <v>1967</v>
      </c>
      <c r="L31">
        <v>2032</v>
      </c>
      <c r="M31">
        <v>28</v>
      </c>
      <c r="N31">
        <v>0.064</v>
      </c>
      <c r="O31">
        <v>304</v>
      </c>
    </row>
    <row r="32" spans="1:15" ht="13.5" thickBot="1">
      <c r="A32" s="76"/>
      <c r="B32" s="78" t="s">
        <v>38</v>
      </c>
      <c r="C32" s="96">
        <f>MIN(C31,ROUNDDOWN(0.12*C29,2))</f>
        <v>1900</v>
      </c>
      <c r="D32" s="136"/>
      <c r="E32" s="136"/>
      <c r="G32" s="58"/>
      <c r="H32" s="194">
        <v>0.45</v>
      </c>
      <c r="I32" s="58"/>
      <c r="K32">
        <v>1968</v>
      </c>
      <c r="L32">
        <v>2033</v>
      </c>
      <c r="M32">
        <v>29</v>
      </c>
      <c r="N32">
        <v>0.056</v>
      </c>
      <c r="O32">
        <v>266</v>
      </c>
    </row>
    <row r="33" spans="1:15" ht="13.5" thickTop="1">
      <c r="A33" s="76"/>
      <c r="B33" s="14" t="str">
        <f>IF(Eingabe!B8=0,"KVSatz=0",(Eingabe!B8+Eingabe!B9)/2&amp;" % + PV")</f>
        <v>7,95 % + PV</v>
      </c>
      <c r="C33" s="97">
        <f>IF(Eingabe!B8=0,0,I4+C11)</f>
        <v>0.09175</v>
      </c>
      <c r="D33" s="137"/>
      <c r="E33" s="137"/>
      <c r="G33" s="169" t="s">
        <v>85</v>
      </c>
      <c r="H33" s="170">
        <v>5.5</v>
      </c>
      <c r="I33" s="171" t="s">
        <v>23</v>
      </c>
      <c r="K33">
        <v>1969</v>
      </c>
      <c r="L33">
        <v>2034</v>
      </c>
      <c r="M33">
        <v>30</v>
      </c>
      <c r="N33">
        <v>0.048</v>
      </c>
      <c r="O33">
        <v>228</v>
      </c>
    </row>
    <row r="34" spans="1:15" ht="13.5" thickBot="1">
      <c r="A34" s="76"/>
      <c r="B34" s="83" t="s">
        <v>57</v>
      </c>
      <c r="C34" s="98">
        <f>IF(C10&gt;0,IF(C6=6,0,C10),ROUNDDOWN(MIN(C21,H17)*C33*100,0)/100)</f>
        <v>4587.5</v>
      </c>
      <c r="D34" s="138"/>
      <c r="E34" s="138"/>
      <c r="F34" s="53"/>
      <c r="G34" s="172"/>
      <c r="H34" s="173">
        <v>11.9</v>
      </c>
      <c r="I34" s="174" t="s">
        <v>134</v>
      </c>
      <c r="K34">
        <v>1970</v>
      </c>
      <c r="L34">
        <v>2035</v>
      </c>
      <c r="M34">
        <v>31</v>
      </c>
      <c r="N34">
        <v>0.04</v>
      </c>
      <c r="O34">
        <v>190</v>
      </c>
    </row>
    <row r="35" spans="1:15" ht="13.5" thickTop="1">
      <c r="A35" s="76"/>
      <c r="B35" s="78" t="s">
        <v>58</v>
      </c>
      <c r="C35" s="96">
        <f>IF(C34&gt;C31,C34,C32)</f>
        <v>4587.5</v>
      </c>
      <c r="D35" s="136"/>
      <c r="E35" s="136"/>
      <c r="G35" s="169"/>
      <c r="H35" s="166">
        <v>14926</v>
      </c>
      <c r="I35" s="171" t="s">
        <v>137</v>
      </c>
      <c r="K35">
        <v>1971</v>
      </c>
      <c r="L35">
        <v>2036</v>
      </c>
      <c r="M35">
        <v>32</v>
      </c>
      <c r="N35">
        <v>0.032</v>
      </c>
      <c r="O35">
        <v>152</v>
      </c>
    </row>
    <row r="36" spans="1:15" ht="12.75">
      <c r="A36" s="76"/>
      <c r="B36" s="78" t="s">
        <v>40</v>
      </c>
      <c r="C36" s="96">
        <f>ROUNDUP(C30+C35,0)</f>
        <v>8680</v>
      </c>
      <c r="D36" s="136"/>
      <c r="E36" s="136"/>
      <c r="G36" s="169"/>
      <c r="H36" s="166">
        <v>58596</v>
      </c>
      <c r="I36" s="169"/>
      <c r="K36">
        <v>1972</v>
      </c>
      <c r="L36">
        <v>2037</v>
      </c>
      <c r="M36">
        <v>33</v>
      </c>
      <c r="N36">
        <v>0.024</v>
      </c>
      <c r="O36">
        <v>114</v>
      </c>
    </row>
    <row r="37" spans="1:15" ht="12.75">
      <c r="A37" s="80" t="s">
        <v>21</v>
      </c>
      <c r="B37" s="115" t="s">
        <v>11</v>
      </c>
      <c r="C37" s="95">
        <f>ROUNDDOWN(C20-C28-C36,0)</f>
        <v>40284</v>
      </c>
      <c r="D37" s="135"/>
      <c r="E37" s="135"/>
      <c r="G37" s="169"/>
      <c r="H37" s="166">
        <v>277826</v>
      </c>
      <c r="I37" s="169"/>
      <c r="K37">
        <v>1973</v>
      </c>
      <c r="L37">
        <v>2038</v>
      </c>
      <c r="M37">
        <v>34</v>
      </c>
      <c r="N37">
        <v>0.016</v>
      </c>
      <c r="O37">
        <v>76</v>
      </c>
    </row>
    <row r="38" spans="1:15" ht="12.75">
      <c r="A38" s="116"/>
      <c r="B38" s="117" t="s">
        <v>106</v>
      </c>
      <c r="C38" s="94">
        <f>MAX(0,ROUNDDOWN(C37/C23,0))</f>
        <v>40284</v>
      </c>
      <c r="D38" s="135"/>
      <c r="E38" s="110" t="s">
        <v>122</v>
      </c>
      <c r="G38" s="169"/>
      <c r="H38" s="175">
        <v>206.43</v>
      </c>
      <c r="I38" s="169"/>
      <c r="K38">
        <v>1974</v>
      </c>
      <c r="L38">
        <v>2039</v>
      </c>
      <c r="M38">
        <v>35</v>
      </c>
      <c r="N38">
        <v>0.008</v>
      </c>
      <c r="O38">
        <v>38</v>
      </c>
    </row>
    <row r="39" spans="1:15" ht="12.75">
      <c r="A39" s="80" t="s">
        <v>118</v>
      </c>
      <c r="B39" s="81" t="s">
        <v>13</v>
      </c>
      <c r="C39" s="99">
        <f>IF(C40&lt;=H23,0,IF(C40&lt;=H35,INT((H41*(C40-H23)/10000+H42)*(C40-H23)/10000),IF(C40&lt;=H36,INT((H38*(C40-H35)/10000+H39)*(C40-H35)/10000+H40),IF(C40&lt;H37,INT(C40*H31-H43),INT(C40*H32-H44)))))*C23</f>
        <v>8343</v>
      </c>
      <c r="D39" s="140"/>
      <c r="E39" s="146">
        <f>C39/C40</f>
        <v>0.20710456</v>
      </c>
      <c r="G39" s="169"/>
      <c r="H39" s="166">
        <v>2397</v>
      </c>
      <c r="I39" s="169"/>
      <c r="K39">
        <v>1975</v>
      </c>
      <c r="L39">
        <v>2040</v>
      </c>
      <c r="M39">
        <v>36</v>
      </c>
      <c r="N39">
        <v>0</v>
      </c>
      <c r="O39">
        <v>0</v>
      </c>
    </row>
    <row r="40" spans="1:10" ht="12.75">
      <c r="A40" s="142"/>
      <c r="B40" s="112" t="s">
        <v>120</v>
      </c>
      <c r="C40" s="145">
        <f>C38+E5/C23</f>
        <v>40284</v>
      </c>
      <c r="D40" s="136"/>
      <c r="E40" s="136"/>
      <c r="G40" s="169"/>
      <c r="H40" s="175">
        <v>938.24</v>
      </c>
      <c r="I40" s="169"/>
      <c r="J40" s="45"/>
    </row>
    <row r="41" spans="1:10" ht="12.75">
      <c r="A41" s="142"/>
      <c r="B41" s="143" t="s">
        <v>121</v>
      </c>
      <c r="C41" s="144">
        <f>ROUNDDOWN(C38*E39,0)</f>
        <v>8343</v>
      </c>
      <c r="D41" s="135"/>
      <c r="E41" s="135"/>
      <c r="G41" s="169"/>
      <c r="H41" s="175">
        <v>1008.7</v>
      </c>
      <c r="I41" s="169"/>
      <c r="J41" s="45"/>
    </row>
    <row r="42" spans="1:10" ht="12.75">
      <c r="A42" s="80" t="s">
        <v>16</v>
      </c>
      <c r="B42" s="81" t="s">
        <v>12</v>
      </c>
      <c r="C42" s="100">
        <f>MIN(H21,C38)*1.25</f>
        <v>36622.5</v>
      </c>
      <c r="D42" s="135"/>
      <c r="E42" s="135"/>
      <c r="G42" s="169"/>
      <c r="H42" s="166">
        <v>1400</v>
      </c>
      <c r="I42" s="169"/>
      <c r="J42" s="45"/>
    </row>
    <row r="43" spans="1:10" ht="12.75">
      <c r="A43" s="76"/>
      <c r="B43" s="77" t="s">
        <v>17</v>
      </c>
      <c r="C43" s="94">
        <f>IF(C42&lt;=H23,0,IF(C42&lt;=H35,INT((H41*(C42-H23)/10000+H42)*(C42-H23)/10000),IF(C42&lt;=H36,INT((H38*(C42-H35)/10000+H39)*(C42-H35)/10000+H40),IF(C42&lt;=H37,INT(C42*H31-H43),INT(C42*H32-H44)))))</f>
        <v>7110</v>
      </c>
      <c r="D43" s="77"/>
      <c r="E43" s="77"/>
      <c r="G43" s="169"/>
      <c r="H43" s="175">
        <v>9267.53</v>
      </c>
      <c r="I43" s="169"/>
      <c r="J43" s="45"/>
    </row>
    <row r="44" spans="1:10" ht="12.75">
      <c r="A44" s="76"/>
      <c r="B44" s="77" t="s">
        <v>12</v>
      </c>
      <c r="C44" s="94">
        <f>MIN(H21,C38)*0.75</f>
        <v>21974</v>
      </c>
      <c r="D44" s="135"/>
      <c r="E44" s="135"/>
      <c r="G44" s="176"/>
      <c r="H44" s="175">
        <v>17602.28</v>
      </c>
      <c r="I44" s="176"/>
      <c r="J44" s="45"/>
    </row>
    <row r="45" spans="1:10" ht="12.75">
      <c r="A45" s="76"/>
      <c r="B45" s="77" t="s">
        <v>18</v>
      </c>
      <c r="C45" s="85">
        <f>IF(C44&lt;=H23,0,IF(C44&lt;=H35,INT((H41*(C44-H23)/10000+H42)*(C44-H23)/10000),IF(C44&lt;=H36,INT((H38*(C44-H35)/10000+H39)*(C44-H35)/10000+H40),IF(C44&lt;H37,INT(C44*H31-H43),INT(C44*H32-H44)))))</f>
        <v>2730</v>
      </c>
      <c r="D45" s="135"/>
      <c r="E45" s="135"/>
      <c r="J45" s="45"/>
    </row>
    <row r="46" spans="1:5" ht="12.75">
      <c r="A46" s="76"/>
      <c r="B46" s="77" t="s">
        <v>19</v>
      </c>
      <c r="C46" s="94">
        <f>(C43-C45)*2</f>
        <v>8760</v>
      </c>
      <c r="D46" s="135"/>
      <c r="E46" s="135"/>
    </row>
    <row r="47" spans="1:5" ht="12.75">
      <c r="A47" s="76"/>
      <c r="B47" s="77" t="s">
        <v>20</v>
      </c>
      <c r="C47" s="94">
        <f>ROUNDDOWN(MIN(C38,H21)*0.14,0)</f>
        <v>4101</v>
      </c>
      <c r="D47" s="135"/>
      <c r="E47" s="135"/>
    </row>
    <row r="48" spans="1:5" ht="12.75">
      <c r="A48" s="76"/>
      <c r="B48" s="77" t="s">
        <v>13</v>
      </c>
      <c r="C48" s="94">
        <f>MAX(C46,C47)</f>
        <v>8760</v>
      </c>
      <c r="D48" s="135"/>
      <c r="E48" s="135"/>
    </row>
    <row r="49" spans="1:5" ht="12.75">
      <c r="A49" s="76"/>
      <c r="B49" s="77" t="s">
        <v>13</v>
      </c>
      <c r="C49" s="94">
        <f>IF(C38&gt;H22,(H22-H21)*H31+C48,ROUNDDOWN(MAX(C38-H21,0)*H31+C48,0))</f>
        <v>13374</v>
      </c>
      <c r="D49" s="135"/>
      <c r="E49" s="135"/>
    </row>
    <row r="50" spans="1:5" ht="12.75">
      <c r="A50" s="76"/>
      <c r="B50" s="77" t="s">
        <v>51</v>
      </c>
      <c r="C50" s="94">
        <f>IF(AND(C38&gt;H20,C38&lt;=H21),C48,0)</f>
        <v>0</v>
      </c>
      <c r="D50" s="135"/>
      <c r="E50" s="135"/>
    </row>
    <row r="51" spans="1:5" ht="12.75">
      <c r="A51" s="76"/>
      <c r="B51" s="77" t="s">
        <v>13</v>
      </c>
      <c r="C51" s="94">
        <f>ROUNDDOWN(H20*0.14,0)</f>
        <v>1607</v>
      </c>
      <c r="D51" s="135"/>
      <c r="E51" s="135"/>
    </row>
    <row r="52" spans="1:5" ht="12.75">
      <c r="A52" s="76"/>
      <c r="B52" s="77" t="s">
        <v>13</v>
      </c>
      <c r="C52" s="94">
        <f>MIN(ROUNDDOWN(MAX(C38-H20,0)*H31+C51,0),C49)</f>
        <v>13374</v>
      </c>
      <c r="D52" s="135"/>
      <c r="E52" s="135"/>
    </row>
    <row r="53" spans="1:5" ht="12.75">
      <c r="A53" s="76"/>
      <c r="B53" s="77" t="s">
        <v>52</v>
      </c>
      <c r="C53" s="94">
        <f>ROUNDDOWN(MAX(C38-H22,0)*H32+C52,0)</f>
        <v>13374</v>
      </c>
      <c r="D53" s="135"/>
      <c r="E53" s="135"/>
    </row>
    <row r="54" spans="1:5" ht="12.75">
      <c r="A54" s="76"/>
      <c r="B54" s="77" t="s">
        <v>14</v>
      </c>
      <c r="C54" s="94">
        <f>ROUNDDOWN(IF(AND(C6&lt;5,E5&gt;0),C41,IF(C6&gt;4,C53,C39)),0)</f>
        <v>8343</v>
      </c>
      <c r="D54" s="135"/>
      <c r="E54" s="135"/>
    </row>
    <row r="55" spans="1:5" ht="12.75">
      <c r="A55" s="76"/>
      <c r="B55" s="77" t="s">
        <v>4</v>
      </c>
      <c r="C55" s="94">
        <f>C54*100</f>
        <v>834300</v>
      </c>
      <c r="D55" s="135"/>
      <c r="E55" s="135"/>
    </row>
    <row r="56" spans="1:7" ht="12.75">
      <c r="A56" s="80" t="s">
        <v>50</v>
      </c>
      <c r="B56" s="81" t="s">
        <v>32</v>
      </c>
      <c r="C56" s="95">
        <f>IF(C3=1,C55,IF(C3=2,ROUNDDOWN(C55/12,0),IF(C3=3,ROUNDDOWN((C55*7)/360,0),ROUNDDOWN(C55/360,0))))</f>
        <v>834300</v>
      </c>
      <c r="D56" s="135"/>
      <c r="E56" s="148" t="s">
        <v>123</v>
      </c>
      <c r="F56" s="147" t="s">
        <v>124</v>
      </c>
      <c r="G56" s="147">
        <f>(C37+E5-C27)/C23</f>
        <v>40284</v>
      </c>
    </row>
    <row r="57" spans="1:7" ht="12.75">
      <c r="A57" s="76"/>
      <c r="B57" s="77" t="s">
        <v>10</v>
      </c>
      <c r="C57" s="94">
        <f>C27+C28</f>
        <v>1036</v>
      </c>
      <c r="D57" s="135"/>
      <c r="E57" s="1"/>
      <c r="F57" s="1" t="s">
        <v>13</v>
      </c>
      <c r="G57" s="1">
        <f>IF(G56&lt;=H23,0,IF(G56&lt;=H35,INT((H41*(G56-H23)/10000+H42)*(G56-H23)/10000),IF(G56&lt;=H36,INT((H38*(G56-H35)/10000+H39)*(G56-H35)/10000+H40),IF(G56&lt;H37,INT(G56*H31-H43),INT(G56*H32-H44)))))*C23</f>
        <v>8343</v>
      </c>
    </row>
    <row r="58" spans="1:7" ht="12.75">
      <c r="A58" s="76"/>
      <c r="B58" s="77" t="s">
        <v>11</v>
      </c>
      <c r="C58" s="94">
        <f>C20-C36-C57</f>
        <v>40284</v>
      </c>
      <c r="D58" s="135"/>
      <c r="F58" s="1" t="s">
        <v>125</v>
      </c>
      <c r="G58" s="1">
        <f>ROUND(G57/G56,6)</f>
        <v>0.207105</v>
      </c>
    </row>
    <row r="59" spans="1:7" ht="12.75">
      <c r="A59" s="76"/>
      <c r="B59" s="77" t="s">
        <v>35</v>
      </c>
      <c r="C59" s="94">
        <f>IF(C58&lt;36,0,ROUNDDOWN(C58/C23,0))</f>
        <v>40284</v>
      </c>
      <c r="D59" s="135"/>
      <c r="F59" s="1" t="s">
        <v>13</v>
      </c>
      <c r="G59" s="147">
        <f>ROUNDDOWN(C58*G58/C23,0)</f>
        <v>8343</v>
      </c>
    </row>
    <row r="60" spans="1:7" ht="12.75">
      <c r="A60" s="76"/>
      <c r="B60" s="77" t="s">
        <v>13</v>
      </c>
      <c r="C60" s="94">
        <f>IF(C59&lt;=H23,0,IF(C59&lt;=H35,INT((H41*(C59-H23)/10000+H42)*(C59-H23)/10000),IF(C59&lt;=H36,INT((H38*(C59-H35)/10000+H39)*(C59-H35)/10000+H40),IF(C59&lt;H37,INT(C59*H31-H43),INT(C59*H32-H44)))))*C23</f>
        <v>8343</v>
      </c>
      <c r="D60" s="77"/>
      <c r="F60" s="1" t="s">
        <v>22</v>
      </c>
      <c r="G60">
        <f>IF(C2&gt;0,ROUNDDOWN(G59*C12,0),G57)</f>
        <v>8343</v>
      </c>
    </row>
    <row r="61" spans="1:4" ht="12.75">
      <c r="A61" s="76"/>
      <c r="B61" s="77" t="s">
        <v>22</v>
      </c>
      <c r="C61" s="94">
        <f>IF(E5=0,IF(C2&gt;0,ROUNDDOWN(C60*C12,0),C54),IF(C2&gt;0,ROUNDDOWN(G60*C12,0),C54))</f>
        <v>8343</v>
      </c>
      <c r="D61" s="134"/>
    </row>
    <row r="62" spans="1:7" ht="12.75">
      <c r="A62" s="80" t="s">
        <v>23</v>
      </c>
      <c r="B62" s="81" t="s">
        <v>24</v>
      </c>
      <c r="C62" s="93">
        <f>(H24)*C23</f>
        <v>16956</v>
      </c>
      <c r="D62" s="134"/>
      <c r="E62" s="110" t="s">
        <v>23</v>
      </c>
      <c r="F62" s="1" t="s">
        <v>24</v>
      </c>
      <c r="G62" s="1">
        <f>(H24)*C23</f>
        <v>16956</v>
      </c>
    </row>
    <row r="63" spans="1:7" ht="12.75">
      <c r="A63" s="76"/>
      <c r="B63" s="77" t="s">
        <v>25</v>
      </c>
      <c r="C63" s="92">
        <f>ROUNDDOWN((C61*H33)/100,2)</f>
        <v>458.86</v>
      </c>
      <c r="D63" s="134"/>
      <c r="F63" s="1" t="s">
        <v>25</v>
      </c>
      <c r="G63" s="2">
        <f>ROUNDDOWN((G59*H33)/100,2)</f>
        <v>458.86</v>
      </c>
    </row>
    <row r="64" spans="1:7" ht="12.75">
      <c r="A64" s="76"/>
      <c r="B64" s="77" t="s">
        <v>26</v>
      </c>
      <c r="C64" s="92">
        <f>((C61-C62)*H34)/100</f>
        <v>-1024.95</v>
      </c>
      <c r="D64" s="77"/>
      <c r="F64" s="1" t="s">
        <v>26</v>
      </c>
      <c r="G64" s="2">
        <f>MAX(((G59-G62)*H34)/100,0)</f>
        <v>0</v>
      </c>
    </row>
    <row r="65" spans="1:7" ht="12.75">
      <c r="A65" s="76"/>
      <c r="B65" s="77" t="s">
        <v>25</v>
      </c>
      <c r="C65" s="92">
        <f>MIN(C64,C63)</f>
        <v>-1024.95</v>
      </c>
      <c r="D65" s="135"/>
      <c r="F65" s="1" t="s">
        <v>25</v>
      </c>
      <c r="G65" s="2">
        <f>MIN(G64,G63)</f>
        <v>0</v>
      </c>
    </row>
    <row r="66" spans="1:7" ht="12.75">
      <c r="A66" s="76"/>
      <c r="B66" s="77" t="s">
        <v>4</v>
      </c>
      <c r="C66" s="85">
        <f>IF(E5=0,C65*100,G66)</f>
        <v>-102495</v>
      </c>
      <c r="D66" s="135"/>
      <c r="F66" s="1" t="s">
        <v>4</v>
      </c>
      <c r="G66" s="1">
        <f>G65*100</f>
        <v>0</v>
      </c>
    </row>
    <row r="67" spans="1:4" ht="12.75">
      <c r="A67" s="80" t="s">
        <v>49</v>
      </c>
      <c r="B67" s="81" t="s">
        <v>15</v>
      </c>
      <c r="C67" s="95">
        <f>ROUNDDOWN(IF(C3=1,C66,IF(C3=2,C66/12,IF(C3=3,(C66*7)/360,C66/360))),0)</f>
        <v>-102495</v>
      </c>
      <c r="D67" s="135"/>
    </row>
    <row r="68" spans="1:4" ht="12.75">
      <c r="A68" s="76"/>
      <c r="B68" s="77" t="s">
        <v>33</v>
      </c>
      <c r="C68" s="94">
        <f>IF(C61&gt;C62,C67,0)</f>
        <v>0</v>
      </c>
      <c r="D68" s="135"/>
    </row>
    <row r="69" spans="1:4" ht="12.75">
      <c r="A69" s="76"/>
      <c r="B69" s="77" t="s">
        <v>4</v>
      </c>
      <c r="C69" s="94">
        <f>C61*100</f>
        <v>834300</v>
      </c>
      <c r="D69" s="141"/>
    </row>
    <row r="70" spans="1:3" ht="12.75">
      <c r="A70" s="80" t="s">
        <v>27</v>
      </c>
      <c r="B70" s="81" t="s">
        <v>27</v>
      </c>
      <c r="C70" s="95">
        <f>ROUNDDOWN(IF(C3=1,C69,IF(C3=2,C69/12,IF(C3=3,(C69*7)/360,C69/360))),0)</f>
        <v>834300</v>
      </c>
    </row>
    <row r="71" spans="1:5" ht="12.75">
      <c r="A71" s="3"/>
      <c r="B71" s="3"/>
      <c r="C71" s="149"/>
      <c r="E71" s="142"/>
    </row>
    <row r="72" spans="3:5" ht="12.75">
      <c r="C72" s="149"/>
      <c r="E72" s="142"/>
    </row>
    <row r="73" spans="3:5" ht="12.75">
      <c r="C73" s="149"/>
      <c r="E73" s="142"/>
    </row>
    <row r="74" ht="12.75">
      <c r="C74" s="149"/>
    </row>
    <row r="75" spans="1:3" ht="12.75">
      <c r="A75" s="101" t="s">
        <v>112</v>
      </c>
      <c r="B75" s="102" t="s">
        <v>113</v>
      </c>
      <c r="C75" s="124">
        <v>1</v>
      </c>
    </row>
  </sheetData>
  <sheetProtection/>
  <mergeCells count="1">
    <mergeCell ref="K1:O1"/>
  </mergeCells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HAGrom/2016</Manager>
  <Company>excelhelper.de</Company>
  <HyperlinkBase>www.excelhelper.de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mit Zellfunktionen</dc:title>
  <dc:subject/>
  <dc:creator>Wolfgang Parmentier/Dr. Johannes Parmentier</dc:creator>
  <cp:keywords/>
  <dc:description>Im Dezember 2015</dc:description>
  <cp:lastModifiedBy>johannes</cp:lastModifiedBy>
  <cp:lastPrinted>2006-02-07T15:12:52Z</cp:lastPrinted>
  <dcterms:created xsi:type="dcterms:W3CDTF">1999-02-09T12:11:13Z</dcterms:created>
  <dcterms:modified xsi:type="dcterms:W3CDTF">2021-11-26T15:31:17Z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