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00" yWindow="0" windowWidth="18700" windowHeight="12180" activeTab="0"/>
  </bookViews>
  <sheets>
    <sheet name="Eingabe" sheetId="1" r:id="rId1"/>
    <sheet name="Berechnung" sheetId="2" r:id="rId2"/>
    <sheet name="Berechnung2" sheetId="3" r:id="rId3"/>
  </sheets>
  <definedNames/>
  <calcPr fullCalcOnLoad="1" iterate="1" iterateCount="5" iterateDelta="0.1"/>
</workbook>
</file>

<file path=xl/comments1.xml><?xml version="1.0" encoding="utf-8"?>
<comments xmlns="http://schemas.openxmlformats.org/spreadsheetml/2006/main">
  <authors>
    <author>Parmentier</author>
  </authors>
  <commentList>
    <comment ref="A12" authorId="0">
      <text>
        <r>
          <rPr>
            <b/>
            <sz val="8"/>
            <rFont val="Tahoma"/>
            <family val="0"/>
          </rPr>
          <t>Eigenanteil = gegfalls Arbeitgeberanteil abgezogen. Nur Anteil des AN für Grundsicherung  eintragen!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<sst xmlns="http://schemas.openxmlformats.org/spreadsheetml/2006/main" count="265" uniqueCount="128">
  <si>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</si>
  <si>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</si>
  <si>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</si>
  <si>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</si>
  <si>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</si>
  <si>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</si>
  <si>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</si>
  <si>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</si>
  <si>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</si>
  <si>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</si>
  <si>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</si>
  <si>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</si>
  <si>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</si>
  <si>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</si>
  <si>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</si>
  <si>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</si>
  <si>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</si>
  <si>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</si>
  <si>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</si>
  <si>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</si>
  <si>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</si>
  <si>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</si>
  <si>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</si>
  <si>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</si>
  <si>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</si>
  <si>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</si>
  <si>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</si>
  <si>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</si>
  <si>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</si>
  <si>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</si>
  <si>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</si>
  <si>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</si>
  <si>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</si>
  <si>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</si>
  <si>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</si>
  <si>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</si>
  <si>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</si>
  <si>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</si>
  <si>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</si>
  <si>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</si>
  <si>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</si>
  <si>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</si>
  <si>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</si>
  <si>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</si>
  <si>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</si>
  <si>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</si>
  <si>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</si>
  <si>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</si>
  <si>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</si>
  <si>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</si>
  <si>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</si>
  <si>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0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</si>
  <si>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</si>
  <si>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</si>
  <si>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Ostdeutschland nein=0 ja=1</t>
  </si>
  <si>
    <t>Sachsen nein=0 ja=1</t>
  </si>
  <si>
    <t>(Jahres)lohnsteuerfreibetrag auf LStKarte</t>
  </si>
  <si>
    <t>Abzüge</t>
  </si>
  <si>
    <t>Nettolohn</t>
  </si>
  <si>
    <t>(Jahres)Hinzurechnungen</t>
  </si>
  <si>
    <t>SOLZ</t>
  </si>
  <si>
    <t>MLSTJAHR</t>
  </si>
  <si>
    <t>VERGL</t>
  </si>
  <si>
    <t>MIT REICHST</t>
  </si>
  <si>
    <t>MRE4ALTE</t>
  </si>
  <si>
    <t>ZRE4J</t>
  </si>
  <si>
    <t>JLHINZU</t>
  </si>
  <si>
    <t>JLFREIB</t>
  </si>
  <si>
    <t>UPTAB07</t>
  </si>
  <si>
    <t>ohne bAV</t>
  </si>
  <si>
    <t>mit bAV</t>
  </si>
  <si>
    <t>bAV-Beitrag</t>
  </si>
  <si>
    <t>Bruttoarbeitsentgelt</t>
  </si>
  <si>
    <t>Effekte beim Arbeitgeber</t>
  </si>
  <si>
    <t>RV-Beitrag</t>
  </si>
  <si>
    <t>KV-Beitrag</t>
  </si>
  <si>
    <t>PV-Beitrag</t>
  </si>
  <si>
    <t>ALV-Beitrag</t>
  </si>
  <si>
    <t>Differenz</t>
  </si>
  <si>
    <t>Zusätzlich verringern sich die Beiträge</t>
  </si>
  <si>
    <t>Anm.:</t>
  </si>
  <si>
    <t>Nettoaufwand für die bAV</t>
  </si>
  <si>
    <t>Hinweisfeld</t>
  </si>
  <si>
    <t>RV-BEMES</t>
  </si>
  <si>
    <t>PKV</t>
  </si>
  <si>
    <t>PV%</t>
  </si>
  <si>
    <t>KV</t>
  </si>
  <si>
    <t>KV&gt;VHB?</t>
  </si>
  <si>
    <t>%/€</t>
  </si>
  <si>
    <t xml:space="preserve">Gleiches Programm für 2009 unter </t>
  </si>
  <si>
    <t>www.parmentier.de/steuer/entgeltumwandlung09.xls</t>
  </si>
  <si>
    <t>im Jahr=1, Monat=2</t>
  </si>
  <si>
    <t xml:space="preserve">Gleiches Programm für 2010 unter </t>
  </si>
  <si>
    <t>www.parmentier.de/steuer/entgeltumwandlung10.xls</t>
  </si>
  <si>
    <t>1,5% Arbeitslosenversicherung</t>
  </si>
  <si>
    <r>
      <t>Krankenversicherung 15,5% /</t>
    </r>
    <r>
      <rPr>
        <b/>
        <sz val="10"/>
        <rFont val="Arial"/>
        <family val="2"/>
      </rPr>
      <t>Eigenanteil</t>
    </r>
    <r>
      <rPr>
        <sz val="10"/>
        <rFont val="Arial"/>
        <family val="0"/>
      </rPr>
      <t xml:space="preserve"> PKV in €</t>
    </r>
  </si>
  <si>
    <t xml:space="preserve">Gleiches Programm für 2011 unter </t>
  </si>
  <si>
    <t>www.parmentier.de/steuer/entgeltumwandlung11.xls</t>
  </si>
  <si>
    <t>Insolvenzumlage.</t>
  </si>
  <si>
    <t>U1, U2, zur Berufsgenossenschaft und die</t>
  </si>
  <si>
    <t>Werte der Zellen B3-B15 und B40 werden von der Eingabe-Mappe geholt</t>
  </si>
  <si>
    <t>Bei Übernahme in eigenes Programm enstprechend anpassen</t>
  </si>
  <si>
    <t>RV-Bemessungsgrenzen Ost/West</t>
  </si>
  <si>
    <t>FAKTOR F</t>
  </si>
  <si>
    <t>TAB4</t>
  </si>
  <si>
    <t>TAB5</t>
  </si>
  <si>
    <t>ALTEANTEIL</t>
  </si>
  <si>
    <t>Ehegattenfaktorenverfahren</t>
  </si>
  <si>
    <t>Zell B67 mit Faktor multiplizieren (für Lohnsteuer)</t>
  </si>
  <si>
    <t>Nur wenn StKl 4 gewählt und Hinzurechnungsbetrag=0!</t>
  </si>
  <si>
    <t>Zell B76 mit Faktor multiplizieren (für Soli und Kirchensteuer)</t>
  </si>
  <si>
    <t>www.parmentier.de/steuer/entgeltumwandlung12.xls</t>
  </si>
  <si>
    <t xml:space="preserve">Gleiches Programm für 2012 unter </t>
  </si>
  <si>
    <t xml:space="preserve">Gleiches Programm für 2013 unter </t>
  </si>
  <si>
    <t>www.parmentier.de/steuer/entgeltumwandlung13.xls</t>
  </si>
  <si>
    <t>kinderlos u. über 23jährig (PflegeV)  ja=1 nein=0</t>
  </si>
  <si>
    <t xml:space="preserve">Gleiches Programm für 2014 unter </t>
  </si>
  <si>
    <t>www.parmentier.de/steuer/entgeltumwandlung14.xls</t>
  </si>
  <si>
    <t>Krankenkassen-Zusatzbeitragsatz (d. Arbeitnehmers)</t>
  </si>
  <si>
    <t>9,35% Rentenversicherung</t>
  </si>
  <si>
    <t>LST 2015</t>
  </si>
  <si>
    <t xml:space="preserve">Gleiches Programm für 2015 unter </t>
  </si>
  <si>
    <t>www.parmentier.de/steuer/entgeltumwandlung15.xls</t>
  </si>
  <si>
    <t>LST 2016</t>
  </si>
  <si>
    <t>Vergleich Brutto - Netto Betriebliche Altersversorgung 2016</t>
  </si>
  <si>
    <t>UPTAB16</t>
  </si>
  <si>
    <t>Stand 28.03.2016</t>
  </si>
  <si>
    <t>=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</si>
</sst>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  <numFmt numFmtId="188" formatCode="#,##0.00\ &quot;€&quot;"/>
    <numFmt numFmtId="189" formatCode="#,##0.00\ _€"/>
    <numFmt numFmtId="190" formatCode="0.00000_ ;\-0.00000\ "/>
    <numFmt numFmtId="191" formatCode="0.0000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5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0" xfId="0" applyNumberFormat="1" applyBorder="1" applyAlignment="1">
      <alignment/>
    </xf>
    <xf numFmtId="0" fontId="1" fillId="34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87" fontId="0" fillId="0" borderId="0" xfId="59" applyNumberFormat="1" applyFont="1" applyBorder="1" applyAlignment="1">
      <alignment/>
    </xf>
    <xf numFmtId="187" fontId="0" fillId="0" borderId="11" xfId="59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2" fontId="9" fillId="34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88" fontId="0" fillId="0" borderId="15" xfId="0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right"/>
    </xf>
    <xf numFmtId="4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2" fontId="9" fillId="34" borderId="18" xfId="0" applyNumberFormat="1" applyFont="1" applyFill="1" applyBorder="1" applyAlignment="1">
      <alignment/>
    </xf>
    <xf numFmtId="2" fontId="9" fillId="34" borderId="14" xfId="0" applyNumberFormat="1" applyFont="1" applyFill="1" applyBorder="1" applyAlignment="1">
      <alignment/>
    </xf>
    <xf numFmtId="0" fontId="0" fillId="0" borderId="0" xfId="0" applyBorder="1" applyAlignment="1">
      <alignment vertical="top"/>
    </xf>
    <xf numFmtId="2" fontId="0" fillId="35" borderId="0" xfId="0" applyNumberFormat="1" applyFill="1" applyBorder="1" applyAlignment="1">
      <alignment/>
    </xf>
    <xf numFmtId="185" fontId="0" fillId="0" borderId="0" xfId="0" applyNumberFormat="1" applyFill="1" applyAlignment="1" applyProtection="1">
      <alignment horizontal="right"/>
      <protection hidden="1"/>
    </xf>
    <xf numFmtId="190" fontId="0" fillId="0" borderId="0" xfId="0" applyNumberFormat="1" applyFill="1" applyAlignment="1" applyProtection="1">
      <alignment horizontal="right"/>
      <protection hidden="1"/>
    </xf>
    <xf numFmtId="173" fontId="0" fillId="0" borderId="0" xfId="0" applyNumberForma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>
      <alignment vertical="top"/>
    </xf>
    <xf numFmtId="191" fontId="0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90" fontId="0" fillId="0" borderId="0" xfId="0" applyNumberFormat="1" applyFill="1" applyAlignment="1">
      <alignment/>
    </xf>
    <xf numFmtId="14" fontId="8" fillId="36" borderId="19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75" fontId="0" fillId="0" borderId="0" xfId="0" applyNumberFormat="1" applyFill="1" applyAlignment="1" applyProtection="1">
      <alignment/>
      <protection hidden="1"/>
    </xf>
    <xf numFmtId="0" fontId="0" fillId="36" borderId="20" xfId="0" applyFill="1" applyBorder="1" applyAlignment="1">
      <alignment/>
    </xf>
    <xf numFmtId="0" fontId="4" fillId="0" borderId="0" xfId="49" applyAlignment="1" applyProtection="1">
      <alignment vertical="top"/>
      <protection/>
    </xf>
    <xf numFmtId="0" fontId="0" fillId="0" borderId="0" xfId="0" applyAlignment="1">
      <alignment/>
    </xf>
    <xf numFmtId="0" fontId="3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49" applyFont="1" applyAlignment="1" applyProtection="1">
      <alignment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entgeltumwandlung11.xls" TargetMode="External" /><Relationship Id="rId2" Type="http://schemas.openxmlformats.org/officeDocument/2006/relationships/hyperlink" Target="..\entgeltumwandlung12.xls" TargetMode="External" /><Relationship Id="rId3" Type="http://schemas.openxmlformats.org/officeDocument/2006/relationships/hyperlink" Target="http://www.parmentier.de/steuer/entgeltumwandlung13.xls" TargetMode="External" /><Relationship Id="rId4" Type="http://schemas.openxmlformats.org/officeDocument/2006/relationships/hyperlink" Target="http://www.parmentier.de/steuer/entgeltumwandlung14.xls" TargetMode="External" /><Relationship Id="rId5" Type="http://schemas.openxmlformats.org/officeDocument/2006/relationships/hyperlink" Target="http://www.parmentier.de/steuer/entgeltumwandlung15.xls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F5" sqref="F5"/>
    </sheetView>
  </sheetViews>
  <sheetFormatPr defaultColWidth="11.421875" defaultRowHeight="12.75"/>
  <cols>
    <col min="1" max="1" width="45.00390625" style="0" customWidth="1"/>
    <col min="2" max="2" width="2.7109375" style="33" customWidth="1"/>
    <col min="3" max="3" width="12.8515625" style="0" bestFit="1" customWidth="1"/>
    <col min="4" max="4" width="4.140625" style="0" customWidth="1"/>
    <col min="5" max="5" width="2.7109375" style="23" customWidth="1"/>
    <col min="7" max="7" width="4.28125" style="0" customWidth="1"/>
    <col min="8" max="8" width="12.140625" style="0" customWidth="1"/>
  </cols>
  <sheetData>
    <row r="1" spans="1:12" ht="12" customHeight="1">
      <c r="A1" s="66" t="s">
        <v>124</v>
      </c>
      <c r="E1" s="74"/>
      <c r="F1" s="93" t="s">
        <v>126</v>
      </c>
      <c r="G1" s="97"/>
      <c r="I1" s="98"/>
      <c r="J1" s="98"/>
      <c r="K1" s="98"/>
      <c r="L1" s="98"/>
    </row>
    <row r="2" spans="1:12" ht="15" customHeight="1">
      <c r="A2" s="79"/>
      <c r="I2" s="98"/>
      <c r="J2" s="98"/>
      <c r="K2" s="98"/>
      <c r="L2" s="98"/>
    </row>
    <row r="3" spans="1:9" ht="12.75">
      <c r="A3" s="23"/>
      <c r="C3" s="69" t="s">
        <v>69</v>
      </c>
      <c r="D3" s="7"/>
      <c r="F3" s="69" t="s">
        <v>70</v>
      </c>
      <c r="G3" s="7"/>
      <c r="I3" s="65" t="s">
        <v>73</v>
      </c>
    </row>
    <row r="4" spans="1:7" ht="12.75">
      <c r="A4" s="23" t="s">
        <v>71</v>
      </c>
      <c r="C4" s="20">
        <v>0</v>
      </c>
      <c r="D4" s="31" t="s">
        <v>48</v>
      </c>
      <c r="F4" s="75">
        <v>248</v>
      </c>
      <c r="G4" s="24" t="s">
        <v>48</v>
      </c>
    </row>
    <row r="5" spans="1:11" ht="12.75">
      <c r="A5" s="23" t="s">
        <v>72</v>
      </c>
      <c r="C5" s="75">
        <v>1134.51</v>
      </c>
      <c r="D5" s="31" t="s">
        <v>48</v>
      </c>
      <c r="F5" s="20">
        <f>C5</f>
        <v>1134.51</v>
      </c>
      <c r="G5" s="24" t="s">
        <v>48</v>
      </c>
      <c r="J5" s="57" t="s">
        <v>69</v>
      </c>
      <c r="K5" s="57" t="s">
        <v>70</v>
      </c>
    </row>
    <row r="6" spans="1:11" ht="12.75">
      <c r="A6" s="34" t="s">
        <v>47</v>
      </c>
      <c r="B6" s="34"/>
      <c r="C6" s="43">
        <f>C5</f>
        <v>1134.51</v>
      </c>
      <c r="D6" s="6" t="s">
        <v>48</v>
      </c>
      <c r="F6" s="20">
        <f>F5-F4</f>
        <v>886.51</v>
      </c>
      <c r="G6" s="6" t="s">
        <v>48</v>
      </c>
      <c r="I6" s="55" t="s">
        <v>74</v>
      </c>
      <c r="J6" s="59">
        <f>C24</f>
        <v>106.08</v>
      </c>
      <c r="K6" s="59">
        <f>F24</f>
        <v>82.89</v>
      </c>
    </row>
    <row r="7" spans="1:11" ht="12.75">
      <c r="A7" s="23" t="s">
        <v>91</v>
      </c>
      <c r="C7" s="44">
        <v>2</v>
      </c>
      <c r="D7" s="4"/>
      <c r="F7" s="23">
        <f aca="true" t="shared" si="0" ref="F7:F19">C7</f>
        <v>2</v>
      </c>
      <c r="G7" s="2"/>
      <c r="I7" s="55" t="s">
        <v>75</v>
      </c>
      <c r="J7" s="59">
        <f>IF(C12&gt;20,0,ROUND(IF(C7=1,IF(C6&gt;50850,50850,C6),IF(C7=2,IF(C6&gt;4125,4125,C6)))*IF(C12=0,0,(C12/200)),2))</f>
        <v>82.82</v>
      </c>
      <c r="K7" s="59">
        <f>IF(C12&gt;20,0,ROUND(IF(C7=1,IF(F6&gt;50850,50850,F6),IF(C7=2,IF(F6&gt;4125,4125,F6)))*IF(C12=0,0,(C12/200)),2))</f>
        <v>64.72</v>
      </c>
    </row>
    <row r="8" spans="1:11" ht="12.75">
      <c r="A8" s="23" t="s">
        <v>49</v>
      </c>
      <c r="C8" s="44">
        <v>5</v>
      </c>
      <c r="D8" s="32"/>
      <c r="F8" s="23">
        <f>C8</f>
        <v>5</v>
      </c>
      <c r="G8" s="3"/>
      <c r="I8" s="55" t="s">
        <v>76</v>
      </c>
      <c r="J8" s="59">
        <f>IF(C12=0,0,IF(C7=1,IF(C6&gt;50850,50850,C6),IF(C7=2,IF(C6&gt;4125,4125,C6),0)))*(IF(C16=0,0.01175,0.00675))</f>
        <v>13.3304925</v>
      </c>
      <c r="K8" s="59">
        <f>IF(C12=0,0,IF(C7=1,IF(F6&gt;50850,50850,F6),IF(C7=2,IF(F6&gt;4125,4125,F6),0)))*(IF(C16=0,0.01175,0.00675))</f>
        <v>10.4164925</v>
      </c>
    </row>
    <row r="9" spans="1:11" ht="12.75">
      <c r="A9" s="23" t="s">
        <v>50</v>
      </c>
      <c r="C9" s="44">
        <v>0</v>
      </c>
      <c r="D9" s="4"/>
      <c r="F9" s="23">
        <f t="shared" si="0"/>
        <v>0</v>
      </c>
      <c r="G9" s="2"/>
      <c r="I9" s="58" t="s">
        <v>77</v>
      </c>
      <c r="J9" s="60">
        <f>C27</f>
        <v>17.02</v>
      </c>
      <c r="K9" s="60">
        <f>F27</f>
        <v>13.3</v>
      </c>
    </row>
    <row r="10" spans="1:7" ht="12.75">
      <c r="A10" s="23" t="s">
        <v>51</v>
      </c>
      <c r="C10" s="44">
        <v>0</v>
      </c>
      <c r="D10" s="4"/>
      <c r="F10" s="23">
        <f t="shared" si="0"/>
        <v>0</v>
      </c>
      <c r="G10" s="2"/>
    </row>
    <row r="11" spans="1:11" ht="13.5" thickBot="1">
      <c r="A11" s="23" t="s">
        <v>52</v>
      </c>
      <c r="C11" s="44">
        <v>8</v>
      </c>
      <c r="D11" s="4" t="s">
        <v>53</v>
      </c>
      <c r="F11" s="23">
        <f>C11</f>
        <v>8</v>
      </c>
      <c r="G11" s="2" t="s">
        <v>53</v>
      </c>
      <c r="I11" s="36" t="s">
        <v>57</v>
      </c>
      <c r="J11" s="61">
        <f>SUM(J6:J9)</f>
        <v>219.25049249999998</v>
      </c>
      <c r="K11" s="61">
        <f>SUM(K6:K9)</f>
        <v>171.32649250000003</v>
      </c>
    </row>
    <row r="12" spans="1:11" ht="12.75">
      <c r="A12" s="23" t="s">
        <v>95</v>
      </c>
      <c r="C12" s="45">
        <v>14.6</v>
      </c>
      <c r="D12" s="4" t="s">
        <v>88</v>
      </c>
      <c r="F12" s="45">
        <f t="shared" si="0"/>
        <v>14.6</v>
      </c>
      <c r="G12" s="2" t="s">
        <v>88</v>
      </c>
      <c r="J12" s="59"/>
      <c r="K12" s="59"/>
    </row>
    <row r="13" spans="1:11" ht="12.75">
      <c r="A13" s="23" t="s">
        <v>118</v>
      </c>
      <c r="C13" s="45">
        <v>1</v>
      </c>
      <c r="D13" s="4" t="s">
        <v>53</v>
      </c>
      <c r="F13" s="45">
        <f t="shared" si="0"/>
        <v>1</v>
      </c>
      <c r="G13" s="2" t="s">
        <v>53</v>
      </c>
      <c r="J13" s="59"/>
      <c r="K13" s="59"/>
    </row>
    <row r="14" spans="1:11" ht="13.5" thickBot="1">
      <c r="A14" s="23" t="s">
        <v>115</v>
      </c>
      <c r="C14" s="44">
        <v>1</v>
      </c>
      <c r="D14" s="4"/>
      <c r="F14" s="23">
        <f t="shared" si="0"/>
        <v>1</v>
      </c>
      <c r="G14" s="2"/>
      <c r="I14" s="62" t="s">
        <v>78</v>
      </c>
      <c r="J14" s="63"/>
      <c r="K14" s="64">
        <f>J11-K11</f>
        <v>47.92399999999995</v>
      </c>
    </row>
    <row r="15" spans="1:7" ht="13.5" thickTop="1">
      <c r="A15" s="23" t="s">
        <v>54</v>
      </c>
      <c r="C15" s="44">
        <v>0</v>
      </c>
      <c r="D15" s="4"/>
      <c r="F15" s="23">
        <f t="shared" si="0"/>
        <v>0</v>
      </c>
      <c r="G15" s="2"/>
    </row>
    <row r="16" spans="1:9" ht="12">
      <c r="A16" s="23" t="s">
        <v>55</v>
      </c>
      <c r="C16" s="44">
        <v>0</v>
      </c>
      <c r="D16" s="4"/>
      <c r="F16" s="23">
        <f t="shared" si="0"/>
        <v>0</v>
      </c>
      <c r="G16" s="2"/>
      <c r="I16" s="55" t="s">
        <v>80</v>
      </c>
    </row>
    <row r="17" spans="1:9" ht="12">
      <c r="A17" s="80"/>
      <c r="B17" s="41"/>
      <c r="C17" s="44"/>
      <c r="D17" s="4"/>
      <c r="F17" s="23"/>
      <c r="G17" s="2"/>
      <c r="I17" t="s">
        <v>79</v>
      </c>
    </row>
    <row r="18" spans="1:9" ht="12">
      <c r="A18" s="35" t="s">
        <v>59</v>
      </c>
      <c r="B18" s="35"/>
      <c r="C18" s="20">
        <v>0</v>
      </c>
      <c r="D18" s="4" t="s">
        <v>48</v>
      </c>
      <c r="F18" s="20">
        <f t="shared" si="0"/>
        <v>0</v>
      </c>
      <c r="G18" s="4" t="s">
        <v>48</v>
      </c>
      <c r="I18" s="55" t="s">
        <v>99</v>
      </c>
    </row>
    <row r="19" spans="1:9" ht="12.75" thickBot="1">
      <c r="A19" s="36" t="s">
        <v>56</v>
      </c>
      <c r="B19" s="35"/>
      <c r="C19" s="25">
        <v>0</v>
      </c>
      <c r="D19" s="5" t="s">
        <v>48</v>
      </c>
      <c r="F19" s="25">
        <f t="shared" si="0"/>
        <v>0</v>
      </c>
      <c r="G19" s="5" t="s">
        <v>48</v>
      </c>
      <c r="I19" s="55" t="s">
        <v>98</v>
      </c>
    </row>
    <row r="20" spans="1:9" ht="12">
      <c r="A20" s="37"/>
      <c r="B20" s="47"/>
      <c r="C20" s="28"/>
      <c r="D20" s="4"/>
      <c r="F20" s="23"/>
      <c r="G20" s="4"/>
      <c r="I20" s="55"/>
    </row>
    <row r="21" spans="1:9" ht="12.75" thickBot="1">
      <c r="A21" s="38" t="s">
        <v>34</v>
      </c>
      <c r="B21" s="42"/>
      <c r="C21" s="29">
        <f>Berechnung!B71/100</f>
        <v>119.41</v>
      </c>
      <c r="D21" s="4" t="s">
        <v>48</v>
      </c>
      <c r="F21" s="20">
        <f>Berechnung2!B71/100</f>
        <v>89.66</v>
      </c>
      <c r="G21" s="2" t="s">
        <v>48</v>
      </c>
      <c r="I21" s="56" t="s">
        <v>82</v>
      </c>
    </row>
    <row r="22" spans="1:11" ht="12">
      <c r="A22" s="38" t="s">
        <v>35</v>
      </c>
      <c r="B22" s="42"/>
      <c r="C22" s="29">
        <f>Berechnung!B87/100</f>
        <v>6.56</v>
      </c>
      <c r="D22" s="4" t="s">
        <v>48</v>
      </c>
      <c r="F22" s="20">
        <f>Berechnung2!B87/100</f>
        <v>1.73</v>
      </c>
      <c r="G22" s="2" t="s">
        <v>48</v>
      </c>
      <c r="I22" s="100">
        <f>IF(F4&gt;IF(C7=2,248,2976),"ACHTUNG: bAV darf max. 4% der RV-Bemessungsgrenze betragen d.h. höchstens 248 Euro/Monat","")</f>
      </c>
      <c r="J22" s="101"/>
      <c r="K22" s="102"/>
    </row>
    <row r="23" spans="1:11" ht="12">
      <c r="A23" s="39" t="s">
        <v>36</v>
      </c>
      <c r="B23" s="42"/>
      <c r="C23" s="30">
        <f>ROUNDDOWN(Berechnung!B92*C11/10000,2)</f>
        <v>9.55</v>
      </c>
      <c r="D23" s="7" t="s">
        <v>48</v>
      </c>
      <c r="F23" s="20">
        <f>ROUNDDOWN(Berechnung2!B92*F11/10000,2)</f>
        <v>7.17</v>
      </c>
      <c r="G23" s="7" t="s">
        <v>48</v>
      </c>
      <c r="I23" s="103"/>
      <c r="J23" s="104"/>
      <c r="K23" s="105"/>
    </row>
    <row r="24" spans="1:11" ht="12">
      <c r="A24" s="50" t="s">
        <v>119</v>
      </c>
      <c r="B24" s="48"/>
      <c r="C24" s="53">
        <f>IF(C9=0,ROUND(IF(C7=1,IF(C6&gt;IF(OR(C15=1,C16=1),64800,74400),IF(OR(C15=1,C16=1),64800,74400),C6),IF(C7=2,IF(C6&gt;IF(OR(C15=1,C16=1),5400,6200),IF(OR(C15=1,C16=1),5400,6200),C6),IF(C7=3,IF(C6&gt;IF(OR(C15=1,C16=1),1260,1446.67),IF(OR(C15=1,C16=1),1260,1446.67),C6),IF(C6&gt;IF(OR(C15=1,C16=1),178.89,206.67),IF(OR(C15=1,C16=1),178.89,206.67),C6))))*0.0935,2),0)</f>
        <v>106.08</v>
      </c>
      <c r="D24" s="54" t="s">
        <v>48</v>
      </c>
      <c r="E24" s="33"/>
      <c r="F24" s="53">
        <f>IF(F9=0,ROUND(IF(F7=1,IF(F6&gt;IF(OR(F15=1,F16=1),64800,74400),IF(OR(F15=1,F16=1),64800,74400),F6),IF(F7=2,IF(F6&gt;IF(OR(F15=1,F16=1),5400,6200),IF(OR(F15=1,F16=1),5400,6200),F6),IF(F7=3,IF(F6&gt;IF(OR(F15=1,F16=1),1260,1446.67),IF(OR(F15=1,F16=1),1260,1446.67),F6),IF(F6&gt;IF(OR(F15=1,F16=1),178.89,206.67),IF(OR(F15=1,F16=1),178.89,206.67),F6))))*0.0935,2),0)</f>
        <v>82.89</v>
      </c>
      <c r="G24" s="54" t="s">
        <v>48</v>
      </c>
      <c r="I24" s="103"/>
      <c r="J24" s="104"/>
      <c r="K24" s="105"/>
    </row>
    <row r="25" spans="1:11" ht="12.75" thickBot="1">
      <c r="A25" s="51" t="str">
        <f>IF(C12=0,"Privat Krankenversichert ohne Nachweis",IF(C13&gt;20,"Basisprämie KV, AG-Anteil abgezogen",C12/2+C13&amp;" % Krankenversicherungsbeitrag"))</f>
        <v>8,3 % Krankenversicherungsbeitrag</v>
      </c>
      <c r="B25" s="48"/>
      <c r="C25" s="72">
        <f>IF(C12&gt;20,C12,IF(C9=0,ROUND(IF(C7=1,IF(C6&gt;50850,50850,C6),IF(C7=2,IF(C6&gt;4237.5,4237.5,C6),IF(C7=3,IF(C6&gt;988.75,988.75,C6),IF(C6&gt;141.25,141.25,C6))))*IF(C12=0,0,((C12/200)+(C13/100))),2),0))</f>
        <v>94.16</v>
      </c>
      <c r="D25" s="52" t="s">
        <v>48</v>
      </c>
      <c r="E25" s="33"/>
      <c r="F25" s="72">
        <f>IF(F12&gt;20,F12,IF(F9=0,ROUND(IF(F7=1,IF(F6&gt;50850,50850,F6),IF(F7=2,IF(F6&gt;4237.5,4237.5,F6),IF(F7=3,IF(F6&gt;988.75,988.75,F6),IF(F6&gt;141.25,141.25,F6))))*IF(F12=0,0,((F12/200)+(F13/100))),2),0))</f>
        <v>73.58</v>
      </c>
      <c r="G25" s="52" t="s">
        <v>48</v>
      </c>
      <c r="I25" s="106"/>
      <c r="J25" s="107"/>
      <c r="K25" s="108"/>
    </row>
    <row r="26" spans="1:9" ht="12">
      <c r="A26" s="51" t="str">
        <f>IF(C16=1,1.675,1.175)+IF(C14=1,0.25,0)&amp;"% Pflegeversicherung"</f>
        <v>1,425% Pflegeversicherung</v>
      </c>
      <c r="B26" s="48"/>
      <c r="C26" s="73">
        <f>IF(C12=0,0,IF(C9=0,IF(C7=1,IF(C6&gt;50850,50850,C6),IF(C7=2,IF(C6&gt;4237.5,4237.5,C6),IF(C7=3,IF(C6&gt;988.75,988.75,C6),IF(C6&gt;141.25,141.25,C6)))),0))*(IF(C16=0,0.01175,0.01675)+IF(AND(C14=1,C10=0),0.0025,0))</f>
        <v>16.1667675</v>
      </c>
      <c r="D26" s="52" t="s">
        <v>48</v>
      </c>
      <c r="E26" s="33"/>
      <c r="F26" s="73">
        <f>IF(F12=0,0,IF(F9=0,IF(F7=1,IF(F6&gt;50850,50850,F6),IF(F7=2,IF(F6&gt;4237.5,4237.5,F6),IF(F7=3,IF(F6&gt;988.75,988.75,F6),IF(F6&gt;141.25,141.25,F6)))),0))*(IF(F16=0,0.01175,0.01675)+IF(AND(F14=1,F10=0),0.0025,0))</f>
        <v>12.6327675</v>
      </c>
      <c r="G26" s="52" t="s">
        <v>48</v>
      </c>
      <c r="I26" s="55"/>
    </row>
    <row r="27" spans="1:9" ht="12">
      <c r="A27" s="51" t="s">
        <v>94</v>
      </c>
      <c r="B27" s="48"/>
      <c r="C27" s="53">
        <f>IF(C9=0,ROUND(IF(C7=1,IF(C6&gt;IF(OR(C15=1,C16=1),64800,74400),IF(OR(C15=1,C16=1),64800,74400),C6),IF(C7=2,IF(C6&gt;IF(OR(C15=1,C16=1),5400,6200),IF(OR(C15=1,C16=1),5400,6200),C6),IF(C7=3,IF(C6&gt;IF(OR(C15=1,C16=1),1260,1446.67),IF(OR(C15=1,C16=1),1260,1446.67),C6),IF(C6&gt;IF(OR(C15=1,C16=1),178.89,206.67),IF(OR(C15=1,C16=1),178.89,206.67),C6))))*0.015,2),0)</f>
        <v>17.02</v>
      </c>
      <c r="D27" s="52" t="s">
        <v>48</v>
      </c>
      <c r="E27" s="33"/>
      <c r="F27" s="53">
        <f>IF(F9=0,ROUND(IF(F7=1,IF(F6&gt;IF(OR(F15=1,F16=1),64800,74400),IF(OR(F15=1,F16=1),64800,74400),F6),IF(F7=2,IF(F6&gt;IF(OR(F15=1,F16=1),5400,6200),IF(OR(F15=1,F16=1),5400,6200),F6),IF(F7=3,IF(F6&gt;IF(OR(F15=1,F16=1),1260,1446.67),IF(OR(F15=1,F16=1),1260,1446.67),F6),IF(F6&gt;IF(OR(F15=1,F16=1),178.89,206.67),IF(OR(F15=1,F16=1),178.89,206.67),F6))))*0.015,2),0)</f>
        <v>13.3</v>
      </c>
      <c r="G27" s="52" t="s">
        <v>48</v>
      </c>
      <c r="I27" s="55"/>
    </row>
    <row r="28" spans="1:9" ht="12">
      <c r="A28" s="23"/>
      <c r="C28" s="23"/>
      <c r="D28" s="4"/>
      <c r="E28" s="33"/>
      <c r="F28" s="20"/>
      <c r="G28" s="2"/>
      <c r="I28" s="55"/>
    </row>
    <row r="29" spans="1:9" ht="12">
      <c r="A29" s="26" t="s">
        <v>57</v>
      </c>
      <c r="C29" s="27">
        <f>SUM(C21:C28)</f>
        <v>368.94676749999996</v>
      </c>
      <c r="D29" s="7" t="s">
        <v>48</v>
      </c>
      <c r="F29" s="27">
        <f>SUM(F21:F27)</f>
        <v>280.9627675</v>
      </c>
      <c r="G29" s="7" t="s">
        <v>48</v>
      </c>
      <c r="I29" s="55"/>
    </row>
    <row r="30" spans="1:9" ht="12.75" thickBot="1">
      <c r="A30" s="40" t="s">
        <v>58</v>
      </c>
      <c r="B30" s="49"/>
      <c r="C30" s="46">
        <f>C6-C29</f>
        <v>765.5632325</v>
      </c>
      <c r="D30" s="8" t="s">
        <v>48</v>
      </c>
      <c r="F30" s="67">
        <f>F6-F29</f>
        <v>605.5472325000001</v>
      </c>
      <c r="G30" s="68" t="s">
        <v>48</v>
      </c>
      <c r="I30" s="55"/>
    </row>
    <row r="31" spans="9:11" ht="12.75" thickBot="1">
      <c r="I31" s="55"/>
      <c r="K31" s="94"/>
    </row>
    <row r="32" spans="1:7" ht="15.75" thickBot="1">
      <c r="A32" s="56" t="s">
        <v>81</v>
      </c>
      <c r="F32" s="70">
        <f>C30-F30</f>
        <v>160.01599999999996</v>
      </c>
      <c r="G32" s="71" t="s">
        <v>48</v>
      </c>
    </row>
    <row r="33" spans="1:7" ht="15">
      <c r="A33" s="56"/>
      <c r="F33" s="90"/>
      <c r="G33" s="91"/>
    </row>
    <row r="34" spans="1:8" ht="12">
      <c r="A34" s="81" t="s">
        <v>121</v>
      </c>
      <c r="C34" s="98" t="s">
        <v>122</v>
      </c>
      <c r="D34" s="99"/>
      <c r="E34" s="99"/>
      <c r="F34" s="99"/>
      <c r="G34" s="99"/>
      <c r="H34" s="99"/>
    </row>
    <row r="35" spans="1:8" ht="12">
      <c r="A35" s="83" t="s">
        <v>116</v>
      </c>
      <c r="C35" s="98" t="s">
        <v>117</v>
      </c>
      <c r="D35" s="99"/>
      <c r="E35" s="99"/>
      <c r="F35" s="99"/>
      <c r="G35" s="99"/>
      <c r="H35" s="99"/>
    </row>
    <row r="36" spans="1:8" ht="12">
      <c r="A36" s="83" t="s">
        <v>113</v>
      </c>
      <c r="C36" s="98" t="s">
        <v>114</v>
      </c>
      <c r="D36" s="99"/>
      <c r="E36" s="99"/>
      <c r="F36" s="99"/>
      <c r="G36" s="99"/>
      <c r="H36" s="99"/>
    </row>
    <row r="37" spans="1:8" ht="12">
      <c r="A37" s="83" t="s">
        <v>112</v>
      </c>
      <c r="C37" s="98" t="s">
        <v>111</v>
      </c>
      <c r="D37" s="99"/>
      <c r="E37" s="99"/>
      <c r="F37" s="99"/>
      <c r="G37" s="99"/>
      <c r="H37" s="99"/>
    </row>
    <row r="38" spans="1:8" ht="12">
      <c r="A38" s="83" t="s">
        <v>96</v>
      </c>
      <c r="C38" s="109" t="s">
        <v>97</v>
      </c>
      <c r="D38" s="99"/>
      <c r="E38" s="99"/>
      <c r="F38" s="99"/>
      <c r="G38" s="99"/>
      <c r="H38" s="99"/>
    </row>
    <row r="39" spans="1:12" ht="12">
      <c r="A39" s="81" t="s">
        <v>92</v>
      </c>
      <c r="B39"/>
      <c r="C39" s="98" t="s">
        <v>93</v>
      </c>
      <c r="D39" s="99"/>
      <c r="E39" s="99"/>
      <c r="F39" s="99"/>
      <c r="G39" s="99"/>
      <c r="H39" s="99"/>
      <c r="I39" s="98"/>
      <c r="J39" s="98"/>
      <c r="K39" s="98"/>
      <c r="L39" s="98"/>
    </row>
    <row r="40" spans="1:12" ht="12">
      <c r="A40" s="82" t="s">
        <v>89</v>
      </c>
      <c r="B40"/>
      <c r="C40" s="98" t="s">
        <v>90</v>
      </c>
      <c r="D40" s="99"/>
      <c r="E40" s="99"/>
      <c r="F40" s="99"/>
      <c r="G40" s="99"/>
      <c r="H40" s="99"/>
      <c r="I40" s="98"/>
      <c r="J40" s="98"/>
      <c r="K40" s="98"/>
      <c r="L40" s="98"/>
    </row>
  </sheetData>
  <sheetProtection/>
  <mergeCells count="12">
    <mergeCell ref="I39:L39"/>
    <mergeCell ref="I40:L40"/>
    <mergeCell ref="C39:H39"/>
    <mergeCell ref="C40:H40"/>
    <mergeCell ref="C38:H38"/>
    <mergeCell ref="C36:H36"/>
    <mergeCell ref="C35:H35"/>
    <mergeCell ref="C37:H37"/>
    <mergeCell ref="C34:H34"/>
    <mergeCell ref="I1:L1"/>
    <mergeCell ref="I22:K25"/>
    <mergeCell ref="I2:L2"/>
  </mergeCells>
  <dataValidations count="5">
    <dataValidation type="list" allowBlank="1" showInputMessage="1" showErrorMessage="1" sqref="C8">
      <formula1>"1,2,3,4,5,6"</formula1>
    </dataValidation>
    <dataValidation type="list" operator="notBetween" allowBlank="1" showInputMessage="1" showErrorMessage="1" sqref="C11">
      <formula1>"0,8,9"</formula1>
    </dataValidation>
    <dataValidation type="list" allowBlank="1" showInputMessage="1" showErrorMessage="1" sqref="B2 C9 C14:C16">
      <formula1>"0,1"</formula1>
    </dataValidation>
    <dataValidation type="list" allowBlank="1" showInputMessage="1" showErrorMessage="1" sqref="C7">
      <formula1>"1,2"</formula1>
    </dataValidation>
    <dataValidation type="list" allowBlank="1" showInputMessage="1" showErrorMessage="1" sqref="C10">
      <formula1>"0,0,5,1,1,5,2,2,5,3,3,5,4,4,5,5,5,5,6"</formula1>
    </dataValidation>
  </dataValidations>
  <hyperlinks>
    <hyperlink ref="C38" r:id="rId1" display="www.parmentier.de/steuer/entgeltumwandlung11.xls"/>
    <hyperlink ref="C37" r:id="rId2" display="www.parmentier.de/steuer/entgeltumwandlung12.xls"/>
    <hyperlink ref="C36" r:id="rId3" display="www.parmentier.de/steuer/entgeltumwandlung13.xls"/>
    <hyperlink ref="C35" r:id="rId4" display="www.parmentier.de/steuer/entgeltumwandlung14.xls"/>
    <hyperlink ref="C34" r:id="rId5" display="www.parmentier.de/steuer/entgeltumwandlung15.xls"/>
  </hyperlinks>
  <printOptions/>
  <pageMargins left="0.787401575" right="0.787401575" top="0.984251969" bottom="0.984251969" header="0.4921259845" footer="0.4921259845"/>
  <pageSetup horizontalDpi="300" verticalDpi="300" orientation="landscape" paperSize="9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2"/>
  <sheetViews>
    <sheetView workbookViewId="0" topLeftCell="A36">
      <selection activeCell="B63" sqref="B63"/>
    </sheetView>
  </sheetViews>
  <sheetFormatPr defaultColWidth="11.57421875" defaultRowHeight="12.75"/>
  <cols>
    <col min="1" max="1" width="12.00390625" style="1" customWidth="1"/>
    <col min="2" max="2" width="18.421875" style="1" customWidth="1"/>
    <col min="3" max="16384" width="11.421875" style="1" customWidth="1"/>
  </cols>
  <sheetData>
    <row r="2" spans="1:9" ht="12">
      <c r="A2" s="21" t="s">
        <v>123</v>
      </c>
      <c r="B2" s="21"/>
      <c r="D2" s="85"/>
      <c r="E2" s="84"/>
      <c r="F2" s="84"/>
      <c r="G2" s="84"/>
      <c r="H2" s="84"/>
      <c r="I2" s="84"/>
    </row>
    <row r="3" spans="1:9" ht="12">
      <c r="A3" s="1" t="s">
        <v>0</v>
      </c>
      <c r="B3" s="1">
        <f>Eingabe!C17</f>
        <v>0</v>
      </c>
      <c r="D3" s="35" t="s">
        <v>100</v>
      </c>
      <c r="I3" s="84"/>
    </row>
    <row r="4" spans="1:9" ht="12">
      <c r="A4" s="1" t="s">
        <v>4</v>
      </c>
      <c r="B4" s="1">
        <f>Eingabe!C10</f>
        <v>0</v>
      </c>
      <c r="D4" s="35" t="s">
        <v>101</v>
      </c>
      <c r="E4" s="84"/>
      <c r="F4" s="84"/>
      <c r="G4" s="84"/>
      <c r="H4" s="84"/>
      <c r="I4" s="84"/>
    </row>
    <row r="5" spans="1:9" ht="12">
      <c r="A5" s="1" t="s">
        <v>2</v>
      </c>
      <c r="B5" s="1">
        <f>Eingabe!C7</f>
        <v>2</v>
      </c>
      <c r="D5" s="86"/>
      <c r="E5" s="84"/>
      <c r="F5" s="84"/>
      <c r="G5" s="84"/>
      <c r="H5" s="84"/>
      <c r="I5" s="84"/>
    </row>
    <row r="6" spans="1:9" ht="12">
      <c r="A6" s="1" t="s">
        <v>1</v>
      </c>
      <c r="B6" s="1">
        <f>Eingabe!C9</f>
        <v>0</v>
      </c>
      <c r="D6" s="86"/>
      <c r="E6" s="84"/>
      <c r="F6" s="84"/>
      <c r="G6" s="84"/>
      <c r="H6" s="84"/>
      <c r="I6" s="84"/>
    </row>
    <row r="7" spans="1:9" ht="12">
      <c r="A7" s="1" t="s">
        <v>65</v>
      </c>
      <c r="B7" s="13">
        <f>ROUNDDOWN(IF(B5=1,Eingabe!C6*100,IF(B5=2,(Eingabe!C6*100)*12,IF(B5=3,((Eingabe!C6*100)*360)/7,(Eingabe!C6*100)*360))),2)</f>
        <v>1361412</v>
      </c>
      <c r="D7" s="86"/>
      <c r="E7" s="84"/>
      <c r="F7" s="84"/>
      <c r="G7" s="84"/>
      <c r="H7" s="84"/>
      <c r="I7" s="84"/>
    </row>
    <row r="8" spans="1:9" ht="12">
      <c r="A8" s="1" t="s">
        <v>3</v>
      </c>
      <c r="B8" s="14">
        <f>Eingabe!C8</f>
        <v>5</v>
      </c>
      <c r="D8" s="86"/>
      <c r="E8" s="84"/>
      <c r="F8" s="84"/>
      <c r="G8" s="84"/>
      <c r="H8" s="84"/>
      <c r="I8" s="84"/>
    </row>
    <row r="9" spans="1:9" ht="12">
      <c r="A9" s="1" t="s">
        <v>67</v>
      </c>
      <c r="B9" s="15">
        <f>Eingabe!C19*100</f>
        <v>0</v>
      </c>
      <c r="C9" s="1" t="s">
        <v>41</v>
      </c>
      <c r="D9" s="86"/>
      <c r="E9" s="84"/>
      <c r="F9" s="84"/>
      <c r="G9" s="84"/>
      <c r="H9" s="84"/>
      <c r="I9" s="84"/>
    </row>
    <row r="10" spans="1:9" ht="12">
      <c r="A10" s="1" t="s">
        <v>66</v>
      </c>
      <c r="B10" s="16">
        <f>IF(B8=6,0,Eingabe!C18*100)</f>
        <v>0</v>
      </c>
      <c r="D10" s="86"/>
      <c r="E10" s="84"/>
      <c r="F10" s="84"/>
      <c r="G10" s="84"/>
      <c r="H10" s="84"/>
      <c r="I10" s="84"/>
    </row>
    <row r="11" spans="1:9" ht="12">
      <c r="A11" s="1" t="s">
        <v>83</v>
      </c>
      <c r="B11" s="22">
        <f>IF(Eingabe!B11=0,74400,64800)</f>
        <v>74400</v>
      </c>
      <c r="D11" s="1" t="s">
        <v>102</v>
      </c>
      <c r="E11" s="84"/>
      <c r="F11" s="84"/>
      <c r="G11" s="84"/>
      <c r="H11" s="84"/>
      <c r="I11" s="84"/>
    </row>
    <row r="12" spans="1:9" ht="12">
      <c r="A12" s="1" t="s">
        <v>84</v>
      </c>
      <c r="B12" s="76">
        <f>IF(Eingabe!B9&gt;20,ROUNDDOWN(IF(B5=1,Eingabe!B9*100,IF(B5=2,(Eingabe!B9*100)*12,IF(B5=3,((Eingabe!B9*100)*360)/7,(Eingabe!B9*100)*360)))/100,2),0)</f>
        <v>0</v>
      </c>
      <c r="D12" s="86"/>
      <c r="E12" s="84"/>
      <c r="F12" s="84"/>
      <c r="G12" s="84"/>
      <c r="H12" s="84"/>
      <c r="I12" s="84"/>
    </row>
    <row r="13" spans="1:9" ht="12">
      <c r="A13" s="1" t="s">
        <v>85</v>
      </c>
      <c r="B13" s="77">
        <f>IF(Eingabe!C16=0,0.01175,0.01675)+IF(AND(Eingabe!C14=1,Eingabe!C10=0),0.0025,0)</f>
        <v>0.01425</v>
      </c>
      <c r="D13" s="86"/>
      <c r="E13" s="84"/>
      <c r="F13" s="84"/>
      <c r="G13" s="84"/>
      <c r="H13" s="84"/>
      <c r="I13" s="84"/>
    </row>
    <row r="14" spans="1:9" ht="12">
      <c r="A14" s="1" t="s">
        <v>103</v>
      </c>
      <c r="B14" s="19">
        <f>IF(OR(OR(Eingabe!B5=0,Eingabe!B5&gt;1),Eingabe!B4&lt;&gt;4),1,Eingabe!B5)</f>
        <v>1</v>
      </c>
      <c r="D14" s="86"/>
      <c r="E14" s="84"/>
      <c r="F14" s="84"/>
      <c r="G14" s="84"/>
      <c r="H14" s="84"/>
      <c r="I14" s="84"/>
    </row>
    <row r="15" spans="1:9" ht="12">
      <c r="A15" s="9" t="s">
        <v>64</v>
      </c>
      <c r="B15" s="10"/>
      <c r="D15" s="86"/>
      <c r="E15" s="84"/>
      <c r="F15" s="84"/>
      <c r="G15" s="84"/>
      <c r="H15" s="84"/>
      <c r="I15" s="84"/>
    </row>
    <row r="16" spans="1:9" ht="12">
      <c r="A16" s="17" t="s">
        <v>104</v>
      </c>
      <c r="B16" s="96">
        <f>IF(B3=1,0.4,IF(B3=2,0.384,IF(B3=3,0.368,IF(B3=4,0.352,IF(B3=5,0.336,IF(B3=6,0.32,IF(B3=7,0.304,IF(B3=8,0.288,0))))))))+IF(B3=9,0.272,IF(B3=10,0.256,IF(B3=11,0.24,IF(B3=12,0.224,0))))</f>
        <v>0</v>
      </c>
      <c r="D16" s="86"/>
      <c r="E16" s="84"/>
      <c r="F16" s="84"/>
      <c r="G16" s="84"/>
      <c r="H16" s="84"/>
      <c r="I16" s="84"/>
    </row>
    <row r="17" spans="1:9" ht="12">
      <c r="A17" s="1" t="s">
        <v>105</v>
      </c>
      <c r="B17" s="1">
        <f>IF(B3=1,190000,IF(B3=2,182400,IF(B3=3,174800,IF(B3=4,167200,IF(B3=5,159600,IF(B3=6,152000,IF(B3=7,144400,IF(B3=8,136800,0))))))))+IF(B3=9,129200,IF(B3=10,121600,IF(B3=11,114000,IF(B3=12,106400,0))))</f>
        <v>0</v>
      </c>
      <c r="D17" s="86"/>
      <c r="E17" s="84"/>
      <c r="F17" s="84"/>
      <c r="G17" s="84"/>
      <c r="H17" s="84"/>
      <c r="I17" s="84"/>
    </row>
    <row r="18" spans="1:9" ht="12">
      <c r="A18" s="1" t="s">
        <v>106</v>
      </c>
      <c r="B18" s="16">
        <f>B17</f>
        <v>0</v>
      </c>
      <c r="D18" s="86"/>
      <c r="E18" s="84"/>
      <c r="F18" s="84"/>
      <c r="G18" s="84"/>
      <c r="H18" s="84"/>
      <c r="I18" s="84"/>
    </row>
    <row r="19" spans="1:9" ht="12">
      <c r="A19" s="1" t="s">
        <v>6</v>
      </c>
      <c r="B19" s="1">
        <f>IF(B3=0,0,IF((B7*B16)&gt;B18,B18,B7*B16))</f>
        <v>0</v>
      </c>
      <c r="D19" s="86"/>
      <c r="E19" s="84"/>
      <c r="F19" s="84"/>
      <c r="G19" s="84"/>
      <c r="H19" s="84"/>
      <c r="I19" s="84"/>
    </row>
    <row r="20" spans="1:9" ht="12">
      <c r="A20" s="1" t="s">
        <v>8</v>
      </c>
      <c r="B20" s="22">
        <f>B7-B9+B10-B19</f>
        <v>1361412</v>
      </c>
      <c r="D20" s="92"/>
      <c r="E20" s="84"/>
      <c r="F20" s="84"/>
      <c r="G20" s="84"/>
      <c r="H20" s="84"/>
      <c r="I20" s="84"/>
    </row>
    <row r="21" spans="1:9" ht="12">
      <c r="A21" s="1" t="s">
        <v>33</v>
      </c>
      <c r="B21" s="22">
        <f>B7</f>
        <v>1361412</v>
      </c>
      <c r="D21" s="86"/>
      <c r="E21" s="84"/>
      <c r="F21" s="84"/>
      <c r="G21" s="84"/>
      <c r="H21" s="84"/>
      <c r="I21" s="84"/>
    </row>
    <row r="22" spans="4:9" ht="12">
      <c r="D22" s="86"/>
      <c r="E22" s="84"/>
      <c r="F22" s="84"/>
      <c r="G22" s="84"/>
      <c r="H22" s="84"/>
      <c r="I22" s="84"/>
    </row>
    <row r="23" spans="1:9" ht="12">
      <c r="A23" s="9" t="s">
        <v>7</v>
      </c>
      <c r="B23" s="10"/>
      <c r="D23" s="86"/>
      <c r="E23" s="84"/>
      <c r="F23" s="84"/>
      <c r="G23" s="84"/>
      <c r="H23" s="84"/>
      <c r="I23" s="84"/>
    </row>
    <row r="24" spans="1:9" ht="12">
      <c r="A24" s="1" t="s">
        <v>8</v>
      </c>
      <c r="B24" s="19">
        <f>B20/100</f>
        <v>13614.12</v>
      </c>
      <c r="D24" s="86"/>
      <c r="E24" s="84"/>
      <c r="F24" s="84"/>
      <c r="G24" s="84"/>
      <c r="H24" s="84"/>
      <c r="I24" s="84"/>
    </row>
    <row r="25" spans="1:9" ht="12">
      <c r="A25" s="1" t="s">
        <v>33</v>
      </c>
      <c r="B25" s="19">
        <f>B21/100</f>
        <v>13614.12</v>
      </c>
      <c r="D25" s="86"/>
      <c r="E25" s="84"/>
      <c r="F25" s="84"/>
      <c r="G25" s="84"/>
      <c r="H25" s="84"/>
      <c r="I25" s="84"/>
    </row>
    <row r="26" spans="2:9" ht="12">
      <c r="B26" s="19"/>
      <c r="D26" s="86"/>
      <c r="E26" s="84"/>
      <c r="F26" s="84"/>
      <c r="G26" s="84"/>
      <c r="H26" s="84"/>
      <c r="I26" s="84"/>
    </row>
    <row r="27" spans="1:9" ht="12">
      <c r="A27" s="9" t="s">
        <v>9</v>
      </c>
      <c r="B27" s="10"/>
      <c r="D27" s="86"/>
      <c r="E27" s="84"/>
      <c r="F27" s="84"/>
      <c r="G27" s="84"/>
      <c r="H27" s="84"/>
      <c r="I27" s="84"/>
    </row>
    <row r="28" spans="1:9" ht="12">
      <c r="A28" s="1" t="s">
        <v>10</v>
      </c>
      <c r="B28" s="1">
        <f>IF(B8=3,2,1)</f>
        <v>1</v>
      </c>
      <c r="D28" s="86"/>
      <c r="E28" s="84"/>
      <c r="F28" s="84"/>
      <c r="G28" s="84"/>
      <c r="H28" s="84"/>
      <c r="I28" s="84"/>
    </row>
    <row r="29" spans="1:2" ht="12">
      <c r="A29" s="1" t="s">
        <v>11</v>
      </c>
      <c r="B29" s="1">
        <v>1000</v>
      </c>
    </row>
    <row r="30" spans="1:2" ht="12">
      <c r="A30" s="1" t="s">
        <v>39</v>
      </c>
      <c r="B30" s="1">
        <f>IF(B8=2,1908,0)</f>
        <v>0</v>
      </c>
    </row>
    <row r="31" spans="1:2" ht="12">
      <c r="A31" s="1" t="s">
        <v>12</v>
      </c>
      <c r="B31" s="1">
        <f>IF(B8&gt;5,0,36)</f>
        <v>36</v>
      </c>
    </row>
    <row r="32" spans="1:2" ht="12">
      <c r="A32" s="1" t="s">
        <v>13</v>
      </c>
      <c r="B32" s="1">
        <f>IF(B8&lt;4,B4*7248,IF(B8=4,B4*3624,0))</f>
        <v>0</v>
      </c>
    </row>
    <row r="33" spans="1:3" ht="12">
      <c r="A33" s="1" t="s">
        <v>14</v>
      </c>
      <c r="B33" s="1">
        <f>IF(B8=6,0,B29+B30+B31)</f>
        <v>1036</v>
      </c>
      <c r="C33" s="18"/>
    </row>
    <row r="35" spans="1:2" ht="12">
      <c r="A35" s="9" t="s">
        <v>42</v>
      </c>
      <c r="B35" s="11"/>
    </row>
    <row r="36" spans="1:2" ht="12">
      <c r="A36" s="1" t="s">
        <v>33</v>
      </c>
      <c r="B36" s="19">
        <f>MIN(B11,B25)</f>
        <v>13614.12</v>
      </c>
    </row>
    <row r="37" spans="1:2" ht="12">
      <c r="A37" s="1" t="s">
        <v>43</v>
      </c>
      <c r="B37" s="19">
        <f>IF(B6=1,0,ROUNDDOWN(0.64*B36*0.0935,2))</f>
        <v>814.66</v>
      </c>
    </row>
    <row r="38" spans="1:2" ht="12">
      <c r="A38" s="17" t="s">
        <v>45</v>
      </c>
      <c r="B38" s="19">
        <f>IF(B28=1,1900,3000)</f>
        <v>1900</v>
      </c>
    </row>
    <row r="39" spans="1:2" ht="12">
      <c r="A39" s="17" t="s">
        <v>44</v>
      </c>
      <c r="B39" s="19">
        <f>MIN(B38,ROUNDDOWN(0.12*B36,2))</f>
        <v>1633.69</v>
      </c>
    </row>
    <row r="40" spans="1:4" ht="12">
      <c r="A40" s="17" t="str">
        <f>IF(Eingabe!C12=0,"KVSatz=0",7+Eingabe!C13&amp;" % + PV")</f>
        <v>8 % + PV</v>
      </c>
      <c r="B40" s="78">
        <f>IF(Eingabe!C12=0,0,0.07+Eingabe!C13/100+B13)</f>
        <v>0.09425</v>
      </c>
      <c r="C40" s="87"/>
      <c r="D40" s="35" t="str">
        <f>IF(B40=0,"","Vorsorgepauschale berücksichtigt: 7,0% (=reduzierter Beitragssatz) + Zusatzbeitrag: "&amp;Eingabe!C13&amp;"% + "&amp;B13&amp;" (PV)")</f>
        <v>Vorsorgepauschale berücksichtigt: 7,0% (=reduzierter Beitragssatz) + Zusatzbeitrag: 1% + 0,01425 (PV)</v>
      </c>
    </row>
    <row r="41" spans="1:4" ht="12">
      <c r="A41" s="17" t="s">
        <v>86</v>
      </c>
      <c r="B41" s="19">
        <f>IF(B12&gt;0,B12,ROUNDDOWN(MIN(B25,50850)*B40*100,0)/100)</f>
        <v>1283.13</v>
      </c>
      <c r="C41" s="87"/>
      <c r="D41" s="88"/>
    </row>
    <row r="42" spans="1:4" ht="12">
      <c r="A42" s="17" t="s">
        <v>87</v>
      </c>
      <c r="B42" s="19">
        <f>IF(B41&gt;B39,B41,B39)</f>
        <v>1633.69</v>
      </c>
      <c r="C42" s="87"/>
      <c r="D42" s="89"/>
    </row>
    <row r="43" spans="1:4" ht="12">
      <c r="A43" s="17" t="s">
        <v>46</v>
      </c>
      <c r="B43" s="19">
        <f>ROUNDUP(B37+B42,0)</f>
        <v>2449</v>
      </c>
      <c r="C43" s="87"/>
      <c r="D43" s="35"/>
    </row>
    <row r="44" spans="1:2" ht="12">
      <c r="A44" s="17"/>
      <c r="B44" s="19"/>
    </row>
    <row r="45" spans="1:2" ht="12">
      <c r="A45" s="9" t="s">
        <v>26</v>
      </c>
      <c r="B45" s="10"/>
    </row>
    <row r="46" spans="1:2" ht="12">
      <c r="A46" s="1" t="s">
        <v>15</v>
      </c>
      <c r="B46" s="15">
        <f>ROUNDDOWN(B24-B33-B43,0)</f>
        <v>10129</v>
      </c>
    </row>
    <row r="47" spans="1:2" ht="12">
      <c r="A47" s="1" t="s">
        <v>21</v>
      </c>
      <c r="B47" s="15">
        <f>MAX(0,ROUNDDOWN(B46/B28,0))</f>
        <v>10129</v>
      </c>
    </row>
    <row r="49" spans="1:2" ht="12">
      <c r="A49" s="9" t="s">
        <v>125</v>
      </c>
      <c r="B49" s="10"/>
    </row>
    <row r="50" spans="1:2" ht="12">
      <c r="A50" s="1" t="s">
        <v>17</v>
      </c>
      <c r="B50" s="1">
        <f>IF(B47&lt;=8652,0,IF(B47&lt;=13669,INT((993.62*(B47-8652)/10000+1400)*(B47-8652)/10000),IF(B47&lt;=53665,INT((225.4*(B47-13669)/10000+2397)*(B47-13669)/10000+952.48),IF(B47&lt;=254446,INT(B47*0.42-8394.14),INT(B47*0.45-16027.52)))))*B28</f>
        <v>228</v>
      </c>
    </row>
    <row r="51" ht="12">
      <c r="A51" s="12"/>
    </row>
    <row r="52" spans="1:2" ht="12">
      <c r="A52" s="9" t="s">
        <v>20</v>
      </c>
      <c r="B52" s="10"/>
    </row>
    <row r="53" ht="12">
      <c r="B53" s="15"/>
    </row>
    <row r="54" spans="1:2" ht="12">
      <c r="A54" s="1" t="s">
        <v>16</v>
      </c>
      <c r="B54" s="15">
        <f>MIN(26832,B47)*1.25</f>
        <v>12661.25</v>
      </c>
    </row>
    <row r="55" spans="1:2" ht="12">
      <c r="A55" s="1" t="s">
        <v>22</v>
      </c>
      <c r="B55" s="1">
        <f>IF(B54&lt;=8652,0,IF(B54&lt;=13669,INT((993.62*(B54-8652)/10000+1400)*(B54-8652)/10000),IF(B54&lt;=53665,INT((225.4*(B54-13669)/10000+2397)*(B54-13669)/10000+952.48),IF(B54&lt;=254446,INT(B54*0.42-8394.14),INT(B54*0.45-16027.52)))))</f>
        <v>721</v>
      </c>
    </row>
    <row r="56" spans="1:2" ht="12">
      <c r="A56" s="1" t="s">
        <v>16</v>
      </c>
      <c r="B56" s="15">
        <f>MIN(26832,B47)*0.75</f>
        <v>7596.75</v>
      </c>
    </row>
    <row r="57" spans="1:2" ht="12">
      <c r="A57" s="1" t="s">
        <v>23</v>
      </c>
      <c r="B57" s="1">
        <f>IF(B56&lt;=8652,0,IF(B56&lt;=13669,INT((993.62*(B56-8652)/10000+1400)*(B56-8652)/10000),IF(B56&lt;=53665,INT((225.4*(B56-13669)/10000+2397)*(B56-13669)/10000+952.48),IF(B56&lt;=254446,INT(B56*0.42-8394.14),INT(B56*0.45-16027.52)))))</f>
        <v>0</v>
      </c>
    </row>
    <row r="58" spans="1:2" ht="12">
      <c r="A58" s="1" t="s">
        <v>24</v>
      </c>
      <c r="B58" s="15">
        <f>(B55-B57)*2</f>
        <v>1442</v>
      </c>
    </row>
    <row r="59" spans="1:2" ht="12">
      <c r="A59" s="1" t="s">
        <v>25</v>
      </c>
      <c r="B59" s="1">
        <f>ROUNDDOWN(MIN(B47,26832)*0.14,0)</f>
        <v>1418</v>
      </c>
    </row>
    <row r="60" spans="1:2" ht="12">
      <c r="A60" s="1" t="s">
        <v>17</v>
      </c>
      <c r="B60" s="15">
        <f>MAX(B58,B59)</f>
        <v>1442</v>
      </c>
    </row>
    <row r="61" spans="1:2" ht="12">
      <c r="A61" s="1" t="s">
        <v>17</v>
      </c>
      <c r="B61" s="15">
        <f>IF(B47&gt;203557,(203557-26832)*0.42+B60,ROUNDDOWN(MAX(B47-26832,0)*0.42+B60,0))</f>
        <v>1442</v>
      </c>
    </row>
    <row r="62" spans="1:4" ht="12">
      <c r="A62" s="1" t="s">
        <v>62</v>
      </c>
      <c r="B62" s="1">
        <f>IF(AND(B47&gt;10070,B47&lt;=26832),B60,0)</f>
        <v>1442</v>
      </c>
      <c r="D62" s="15"/>
    </row>
    <row r="63" spans="1:4" ht="12">
      <c r="A63" s="1" t="s">
        <v>17</v>
      </c>
      <c r="B63" s="15">
        <f>ROUNDDOWN(10070*0.14,0)</f>
        <v>1409</v>
      </c>
      <c r="D63" s="95"/>
    </row>
    <row r="64" spans="1:2" ht="12">
      <c r="A64" s="1" t="s">
        <v>17</v>
      </c>
      <c r="B64" s="15">
        <f>MIN(ROUNDDOWN(MAX(B47-10070,0)*0.42+B63,0),B61)</f>
        <v>1433</v>
      </c>
    </row>
    <row r="65" spans="1:2" ht="12">
      <c r="A65" s="1" t="s">
        <v>63</v>
      </c>
      <c r="B65" s="15">
        <f>ROUNDDOWN(MAX(B47-203557,0)*0.45+B64,0)</f>
        <v>1433</v>
      </c>
    </row>
    <row r="66" spans="1:4" ht="12">
      <c r="A66" s="1" t="s">
        <v>18</v>
      </c>
      <c r="B66" s="1">
        <f>ROUNDDOWN(IF(B8&lt;5,B50,B65)*B14,0)</f>
        <v>1433</v>
      </c>
      <c r="D66" s="1" t="s">
        <v>107</v>
      </c>
    </row>
    <row r="67" spans="1:4" ht="12">
      <c r="A67" s="1" t="s">
        <v>5</v>
      </c>
      <c r="B67" s="1">
        <f>B66*100</f>
        <v>143300</v>
      </c>
      <c r="D67" s="1" t="s">
        <v>108</v>
      </c>
    </row>
    <row r="68" ht="12">
      <c r="D68" s="1" t="s">
        <v>109</v>
      </c>
    </row>
    <row r="69" spans="1:2" ht="12">
      <c r="A69" s="9" t="s">
        <v>61</v>
      </c>
      <c r="B69" s="10"/>
    </row>
    <row r="71" spans="1:2" ht="12">
      <c r="A71" s="1" t="s">
        <v>37</v>
      </c>
      <c r="B71" s="1">
        <f>IF(B5=1,B67,IF(B5=2,ROUNDDOWN(B67/12,0),IF(B5=3,ROUNDDOWN((B67*7)/360,0),ROUNDDOWN(B67/360,0))))</f>
        <v>11941</v>
      </c>
    </row>
    <row r="72" spans="1:2" ht="12">
      <c r="A72" s="1" t="s">
        <v>14</v>
      </c>
      <c r="B72" s="1">
        <f>B32+B33</f>
        <v>1036</v>
      </c>
    </row>
    <row r="73" spans="1:2" ht="12">
      <c r="A73" s="1" t="s">
        <v>15</v>
      </c>
      <c r="B73" s="15">
        <f>B24-B43-B72</f>
        <v>10129.12</v>
      </c>
    </row>
    <row r="74" spans="1:2" ht="12">
      <c r="A74" s="1" t="s">
        <v>40</v>
      </c>
      <c r="B74" s="1">
        <f>IF(B73&lt;36,0,ROUNDDOWN(B73/B28,0))</f>
        <v>10129</v>
      </c>
    </row>
    <row r="75" spans="1:4" ht="12">
      <c r="A75" s="1" t="s">
        <v>17</v>
      </c>
      <c r="B75" s="1">
        <f>IF(B74&lt;=8652,0,IF(B74&lt;=13669,INT((993.62*(B74-8652)/10000+1400)*(B74-8652)/10000),IF(B74&lt;=53665,INT((225.4*(B74-13669)/10000+2397)*(B74-13669)/10000+952.48),IF(B74&lt;=254446,INT(B74*0.42-8394.14),INT(B74*0.45-16027.52)))))*B28</f>
        <v>228</v>
      </c>
      <c r="D75" s="1" t="s">
        <v>107</v>
      </c>
    </row>
    <row r="76" spans="1:4" ht="12">
      <c r="A76" s="1" t="s">
        <v>27</v>
      </c>
      <c r="B76" s="1">
        <f>IF(B4&gt;0,ROUNDDOWN(B75*B14,0),B66)</f>
        <v>1433</v>
      </c>
      <c r="D76" s="1" t="s">
        <v>110</v>
      </c>
    </row>
    <row r="78" spans="1:2" ht="12">
      <c r="A78" s="9" t="s">
        <v>28</v>
      </c>
      <c r="B78" s="10"/>
    </row>
    <row r="79" spans="1:2" ht="12">
      <c r="A79" s="1" t="s">
        <v>29</v>
      </c>
      <c r="B79" s="1">
        <f>972*B28</f>
        <v>972</v>
      </c>
    </row>
    <row r="80" spans="1:2" ht="12">
      <c r="A80" s="1" t="s">
        <v>30</v>
      </c>
      <c r="B80" s="19">
        <f>ROUNDDOWN((B76*5.5)/100,2)</f>
        <v>78.81</v>
      </c>
    </row>
    <row r="81" spans="1:2" ht="12">
      <c r="A81" s="1" t="s">
        <v>31</v>
      </c>
      <c r="B81" s="19">
        <f>((B76-B79)*20)/100</f>
        <v>92.2</v>
      </c>
    </row>
    <row r="82" spans="1:5" ht="12">
      <c r="A82" s="1" t="s">
        <v>30</v>
      </c>
      <c r="B82" s="19">
        <f>MIN(B81,B80)</f>
        <v>78.81</v>
      </c>
      <c r="E82" s="19"/>
    </row>
    <row r="83" spans="1:2" ht="12">
      <c r="A83" s="1" t="s">
        <v>5</v>
      </c>
      <c r="B83" s="1">
        <f>B82*100</f>
        <v>7881</v>
      </c>
    </row>
    <row r="85" spans="1:2" ht="12">
      <c r="A85" s="9" t="s">
        <v>60</v>
      </c>
      <c r="B85" s="10"/>
    </row>
    <row r="86" spans="1:2" ht="12">
      <c r="A86" s="1" t="s">
        <v>19</v>
      </c>
      <c r="B86" s="1">
        <f>ROUNDDOWN(IF(B5=1,B83,IF(B5=2,B83/12,IF(B5=3,(B83*7)/360,B83/360))),0)</f>
        <v>656</v>
      </c>
    </row>
    <row r="87" spans="1:2" ht="12">
      <c r="A87" s="1" t="s">
        <v>38</v>
      </c>
      <c r="B87" s="1">
        <f>IF(B76&gt;B79,B86,0)</f>
        <v>656</v>
      </c>
    </row>
    <row r="88" spans="1:2" ht="12">
      <c r="A88" s="1" t="s">
        <v>5</v>
      </c>
      <c r="B88" s="1">
        <f>B76*100</f>
        <v>143300</v>
      </c>
    </row>
    <row r="90" spans="1:2" ht="12">
      <c r="A90" s="9" t="s">
        <v>32</v>
      </c>
      <c r="B90" s="10"/>
    </row>
    <row r="91" spans="1:2" ht="12">
      <c r="A91" s="1" t="s">
        <v>19</v>
      </c>
      <c r="B91" s="1">
        <f>ROUNDDOWN(IF(B5=1,B88,IF(B5=2,B88/12,IF(B5=3,(B88*7)/360,B88/360))),0)</f>
        <v>11941</v>
      </c>
    </row>
    <row r="92" spans="1:2" ht="12">
      <c r="A92" s="1" t="s">
        <v>32</v>
      </c>
      <c r="B92" s="1">
        <f>B91</f>
        <v>11941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2"/>
  <sheetViews>
    <sheetView workbookViewId="0" topLeftCell="A26">
      <selection activeCell="D64" sqref="D64"/>
    </sheetView>
  </sheetViews>
  <sheetFormatPr defaultColWidth="11.57421875" defaultRowHeight="12.75"/>
  <cols>
    <col min="1" max="1" width="12.00390625" style="1" customWidth="1"/>
    <col min="2" max="2" width="14.00390625" style="1" customWidth="1"/>
    <col min="3" max="16384" width="11.421875" style="1" customWidth="1"/>
  </cols>
  <sheetData>
    <row r="2" spans="1:9" ht="12">
      <c r="A2" s="21" t="s">
        <v>120</v>
      </c>
      <c r="B2" s="21"/>
      <c r="D2" s="85"/>
      <c r="E2" s="84"/>
      <c r="F2" s="84"/>
      <c r="G2" s="84"/>
      <c r="H2" s="84"/>
      <c r="I2" s="84"/>
    </row>
    <row r="3" spans="1:9" ht="12">
      <c r="A3" s="1" t="s">
        <v>0</v>
      </c>
      <c r="B3" s="1">
        <f>Eingabe!F17</f>
        <v>0</v>
      </c>
      <c r="D3" s="35" t="s">
        <v>100</v>
      </c>
      <c r="I3" s="84"/>
    </row>
    <row r="4" spans="1:9" ht="12">
      <c r="A4" s="1" t="s">
        <v>4</v>
      </c>
      <c r="B4" s="1">
        <f>Eingabe!F10</f>
        <v>0</v>
      </c>
      <c r="D4" s="35" t="s">
        <v>101</v>
      </c>
      <c r="E4" s="84"/>
      <c r="F4" s="84"/>
      <c r="G4" s="84"/>
      <c r="H4" s="84"/>
      <c r="I4" s="84"/>
    </row>
    <row r="5" spans="1:9" ht="12">
      <c r="A5" s="1" t="s">
        <v>2</v>
      </c>
      <c r="B5" s="1">
        <f>Eingabe!F7</f>
        <v>2</v>
      </c>
      <c r="D5" s="86"/>
      <c r="E5" s="84"/>
      <c r="F5" s="84"/>
      <c r="G5" s="84"/>
      <c r="H5" s="84"/>
      <c r="I5" s="84"/>
    </row>
    <row r="6" spans="1:9" ht="12">
      <c r="A6" s="1" t="s">
        <v>1</v>
      </c>
      <c r="B6" s="1">
        <f>Eingabe!F9</f>
        <v>0</v>
      </c>
      <c r="D6" s="86"/>
      <c r="E6" s="84"/>
      <c r="F6" s="84"/>
      <c r="G6" s="84"/>
      <c r="H6" s="84"/>
      <c r="I6" s="84"/>
    </row>
    <row r="7" spans="1:9" ht="12">
      <c r="A7" s="1" t="s">
        <v>65</v>
      </c>
      <c r="B7" s="13">
        <f>ROUNDDOWN(IF(B5=1,Eingabe!F6*100,IF(B5=2,(Eingabe!F6*100)*12,IF(B5=3,((Eingabe!F6*100)*360)/7,(Eingabe!F6*100)*360))),2)</f>
        <v>1063812</v>
      </c>
      <c r="D7" s="86"/>
      <c r="E7" s="84"/>
      <c r="F7" s="84"/>
      <c r="G7" s="84"/>
      <c r="H7" s="84"/>
      <c r="I7" s="84"/>
    </row>
    <row r="8" spans="1:9" ht="12">
      <c r="A8" s="1" t="s">
        <v>3</v>
      </c>
      <c r="B8" s="14">
        <f>Eingabe!F8</f>
        <v>5</v>
      </c>
      <c r="D8" s="86"/>
      <c r="E8" s="84"/>
      <c r="F8" s="84"/>
      <c r="G8" s="84"/>
      <c r="H8" s="84"/>
      <c r="I8" s="84"/>
    </row>
    <row r="9" spans="1:9" ht="12">
      <c r="A9" s="1" t="s">
        <v>67</v>
      </c>
      <c r="B9" s="15">
        <f>Eingabe!F19*100</f>
        <v>0</v>
      </c>
      <c r="C9" s="1" t="s">
        <v>41</v>
      </c>
      <c r="D9" s="86"/>
      <c r="E9" s="84"/>
      <c r="F9" s="84"/>
      <c r="G9" s="84"/>
      <c r="H9" s="84"/>
      <c r="I9" s="84"/>
    </row>
    <row r="10" spans="1:9" ht="12">
      <c r="A10" s="1" t="s">
        <v>66</v>
      </c>
      <c r="B10" s="16">
        <f>IF(B8=6,0,Eingabe!F18*100)</f>
        <v>0</v>
      </c>
      <c r="D10" s="86"/>
      <c r="E10" s="84"/>
      <c r="F10" s="84"/>
      <c r="G10" s="84"/>
      <c r="H10" s="84"/>
      <c r="I10" s="84"/>
    </row>
    <row r="11" spans="1:9" ht="12">
      <c r="A11" s="1" t="s">
        <v>83</v>
      </c>
      <c r="B11" s="22">
        <f>IF(Eingabe!B11=0,74400,64800)</f>
        <v>74400</v>
      </c>
      <c r="D11" s="1" t="s">
        <v>102</v>
      </c>
      <c r="E11" s="84"/>
      <c r="F11" s="84"/>
      <c r="G11" s="84"/>
      <c r="H11" s="84"/>
      <c r="I11" s="84"/>
    </row>
    <row r="12" spans="1:9" ht="12">
      <c r="A12" s="1" t="s">
        <v>84</v>
      </c>
      <c r="B12" s="76">
        <f>IF(Eingabe!B9&gt;20,ROUNDDOWN(IF(B5=1,Eingabe!B9*100,IF(B5=2,(Eingabe!B9*100)*12,IF(B5=3,((Eingabe!B9*100)*360)/7,(Eingabe!B9*100)*360)))/100,2),0)</f>
        <v>0</v>
      </c>
      <c r="D12" s="86"/>
      <c r="E12" s="84"/>
      <c r="F12" s="84"/>
      <c r="G12" s="84"/>
      <c r="H12" s="84"/>
      <c r="I12" s="84"/>
    </row>
    <row r="13" spans="1:9" ht="12">
      <c r="A13" s="1" t="s">
        <v>85</v>
      </c>
      <c r="B13" s="77">
        <f>IF(Eingabe!C16=0,0.01175,0.01675)+IF(AND(Eingabe!C14=1,Eingabe!C10=0),0.0025,0)</f>
        <v>0.01425</v>
      </c>
      <c r="D13" s="86"/>
      <c r="E13" s="84"/>
      <c r="F13" s="84"/>
      <c r="G13" s="84"/>
      <c r="H13" s="84"/>
      <c r="I13" s="84"/>
    </row>
    <row r="14" spans="1:9" ht="12">
      <c r="A14" s="1" t="s">
        <v>103</v>
      </c>
      <c r="B14" s="19">
        <f>IF(OR(OR(Eingabe!B5=0,Eingabe!B5&gt;1),Eingabe!B4&lt;&gt;4),1,Eingabe!B5)</f>
        <v>1</v>
      </c>
      <c r="D14" s="86"/>
      <c r="E14" s="84"/>
      <c r="F14" s="84"/>
      <c r="G14" s="84"/>
      <c r="H14" s="84"/>
      <c r="I14" s="84"/>
    </row>
    <row r="15" spans="1:9" ht="12">
      <c r="A15" s="9" t="s">
        <v>64</v>
      </c>
      <c r="B15" s="10"/>
      <c r="D15" s="86"/>
      <c r="E15" s="84"/>
      <c r="F15" s="84"/>
      <c r="G15" s="84"/>
      <c r="H15" s="84"/>
      <c r="I15" s="84"/>
    </row>
    <row r="16" spans="1:9" ht="12">
      <c r="A16" s="17" t="s">
        <v>104</v>
      </c>
      <c r="B16" s="96">
        <f>IF(B3=1,0.4,IF(B3=2,0.384,IF(B3=3,0.368,IF(B3=4,0.352,IF(B3=5,0.336,IF(B3=6,0.32,IF(B3=7,0.304,IF(B3=8,0.288,0))))))))+IF(B3=9,0.272,IF(B3=10,0.256,IF(B3=11,0.24,IF(B3=12,0.224,0))))</f>
        <v>0</v>
      </c>
      <c r="D16" s="86"/>
      <c r="E16" s="84"/>
      <c r="F16" s="84"/>
      <c r="G16" s="84"/>
      <c r="H16" s="84"/>
      <c r="I16" s="84"/>
    </row>
    <row r="17" spans="1:9" ht="12">
      <c r="A17" s="1" t="s">
        <v>105</v>
      </c>
      <c r="B17" s="1">
        <f>IF(B3=1,190000,IF(B3=2,182400,IF(B3=3,174800,IF(B3=4,167200,IF(B3=5,159600,IF(B3=6,152000,IF(B3=7,144400,IF(B3=8,136800,0))))))))+IF(B3=9,129200,IF(B3=10,121600,IF(B3=11,114000,IF(B3=12,106400,0))))</f>
        <v>0</v>
      </c>
      <c r="D17" s="86"/>
      <c r="E17" s="84"/>
      <c r="F17" s="84"/>
      <c r="G17" s="84"/>
      <c r="H17" s="84"/>
      <c r="I17" s="84"/>
    </row>
    <row r="18" spans="1:9" ht="12">
      <c r="A18" s="1" t="s">
        <v>106</v>
      </c>
      <c r="B18" s="16">
        <f>B17</f>
        <v>0</v>
      </c>
      <c r="D18" s="86"/>
      <c r="E18" s="84"/>
      <c r="F18" s="84"/>
      <c r="G18" s="84"/>
      <c r="H18" s="84"/>
      <c r="I18" s="84"/>
    </row>
    <row r="19" spans="1:9" ht="12">
      <c r="A19" s="1" t="s">
        <v>6</v>
      </c>
      <c r="B19" s="1">
        <f>IF(B3=0,0,IF((B7*B16)&gt;B18,B18,B7*B16))</f>
        <v>0</v>
      </c>
      <c r="D19" s="86"/>
      <c r="E19" s="84"/>
      <c r="F19" s="84"/>
      <c r="G19" s="84"/>
      <c r="H19" s="84"/>
      <c r="I19" s="84"/>
    </row>
    <row r="20" spans="1:9" ht="12">
      <c r="A20" s="1" t="s">
        <v>8</v>
      </c>
      <c r="B20" s="22">
        <f>B7-B9+B10-B19</f>
        <v>1063812</v>
      </c>
      <c r="D20" s="86"/>
      <c r="E20" s="84"/>
      <c r="F20" s="84"/>
      <c r="G20" s="84"/>
      <c r="H20" s="84"/>
      <c r="I20" s="84"/>
    </row>
    <row r="21" spans="1:9" ht="12">
      <c r="A21" s="1" t="s">
        <v>33</v>
      </c>
      <c r="B21" s="22">
        <f>B7</f>
        <v>1063812</v>
      </c>
      <c r="D21" s="86"/>
      <c r="E21" s="84"/>
      <c r="F21" s="84"/>
      <c r="G21" s="84"/>
      <c r="H21" s="84"/>
      <c r="I21" s="84"/>
    </row>
    <row r="22" spans="4:9" ht="12">
      <c r="D22" s="86"/>
      <c r="E22" s="84"/>
      <c r="F22" s="84"/>
      <c r="G22" s="84"/>
      <c r="H22" s="84"/>
      <c r="I22" s="84"/>
    </row>
    <row r="23" spans="1:9" ht="12">
      <c r="A23" s="9" t="s">
        <v>7</v>
      </c>
      <c r="B23" s="10"/>
      <c r="D23" s="86"/>
      <c r="E23" s="84"/>
      <c r="F23" s="84"/>
      <c r="G23" s="84"/>
      <c r="H23" s="84"/>
      <c r="I23" s="84"/>
    </row>
    <row r="24" spans="1:9" ht="12">
      <c r="A24" s="1" t="s">
        <v>8</v>
      </c>
      <c r="B24" s="19">
        <f>B20/100</f>
        <v>10638.12</v>
      </c>
      <c r="D24" s="86"/>
      <c r="E24" s="84"/>
      <c r="F24" s="84"/>
      <c r="G24" s="84"/>
      <c r="H24" s="84"/>
      <c r="I24" s="84"/>
    </row>
    <row r="25" spans="1:9" ht="12">
      <c r="A25" s="1" t="s">
        <v>33</v>
      </c>
      <c r="B25" s="19">
        <f>B21/100</f>
        <v>10638.12</v>
      </c>
      <c r="D25" s="86"/>
      <c r="E25" s="84"/>
      <c r="F25" s="84"/>
      <c r="G25" s="84"/>
      <c r="H25" s="84"/>
      <c r="I25" s="84"/>
    </row>
    <row r="26" spans="2:9" ht="12">
      <c r="B26" s="19"/>
      <c r="D26" s="86"/>
      <c r="E26" s="84"/>
      <c r="F26" s="84"/>
      <c r="G26" s="84"/>
      <c r="H26" s="84"/>
      <c r="I26" s="84"/>
    </row>
    <row r="27" spans="1:9" ht="12">
      <c r="A27" s="9" t="s">
        <v>9</v>
      </c>
      <c r="B27" s="10"/>
      <c r="D27" s="86"/>
      <c r="E27" s="84"/>
      <c r="F27" s="84"/>
      <c r="G27" s="84"/>
      <c r="H27" s="84"/>
      <c r="I27" s="84"/>
    </row>
    <row r="28" spans="1:9" ht="12">
      <c r="A28" s="1" t="s">
        <v>10</v>
      </c>
      <c r="B28" s="1">
        <f>IF(B8=3,2,1)</f>
        <v>1</v>
      </c>
      <c r="D28" s="86"/>
      <c r="E28" s="84"/>
      <c r="F28" s="84"/>
      <c r="G28" s="84"/>
      <c r="H28" s="84"/>
      <c r="I28" s="84"/>
    </row>
    <row r="29" spans="1:2" ht="12">
      <c r="A29" s="1" t="s">
        <v>11</v>
      </c>
      <c r="B29" s="1">
        <v>1000</v>
      </c>
    </row>
    <row r="30" spans="1:2" ht="12">
      <c r="A30" s="1" t="s">
        <v>39</v>
      </c>
      <c r="B30" s="1">
        <f>IF(B8=2,1908,0)</f>
        <v>0</v>
      </c>
    </row>
    <row r="31" spans="1:2" ht="12">
      <c r="A31" s="1" t="s">
        <v>12</v>
      </c>
      <c r="B31" s="1">
        <f>IF(B8&gt;5,0,36)</f>
        <v>36</v>
      </c>
    </row>
    <row r="32" spans="1:2" ht="12">
      <c r="A32" s="1" t="s">
        <v>13</v>
      </c>
      <c r="B32" s="1">
        <f>IF(B8&lt;4,B4*7248,IF(B8=4,B4*3624,0))</f>
        <v>0</v>
      </c>
    </row>
    <row r="33" spans="1:3" ht="12">
      <c r="A33" s="1" t="s">
        <v>14</v>
      </c>
      <c r="B33" s="1">
        <f>IF(B8=6,0,B29+B30+B31)</f>
        <v>1036</v>
      </c>
      <c r="C33" s="18"/>
    </row>
    <row r="35" spans="1:2" ht="12">
      <c r="A35" s="9" t="s">
        <v>42</v>
      </c>
      <c r="B35" s="11"/>
    </row>
    <row r="36" spans="1:2" ht="12">
      <c r="A36" s="1" t="s">
        <v>33</v>
      </c>
      <c r="B36" s="19">
        <f>MIN(B11,B25)</f>
        <v>10638.12</v>
      </c>
    </row>
    <row r="37" spans="1:2" ht="12">
      <c r="A37" s="1" t="s">
        <v>43</v>
      </c>
      <c r="B37" s="19">
        <f>IF(B6=1,0,ROUNDDOWN(0.64*B36*0.0935,2))</f>
        <v>636.58</v>
      </c>
    </row>
    <row r="38" spans="1:2" ht="12">
      <c r="A38" s="17" t="s">
        <v>45</v>
      </c>
      <c r="B38" s="19">
        <f>IF(B28=1,1900,3000)</f>
        <v>1900</v>
      </c>
    </row>
    <row r="39" spans="1:2" ht="12">
      <c r="A39" s="17" t="s">
        <v>44</v>
      </c>
      <c r="B39" s="19">
        <f>MIN(B38,ROUNDDOWN(0.12*B36,2))</f>
        <v>1276.57</v>
      </c>
    </row>
    <row r="40" spans="1:4" ht="12">
      <c r="A40" s="17" t="str">
        <f>IF(Eingabe!C12=0,"KVSatz=0",7+Eingabe!C13&amp;" % + PV")</f>
        <v>8 % + PV</v>
      </c>
      <c r="B40" s="78">
        <f>IF(Eingabe!C12=0,0,0.07+Eingabe!C13/100+B13)</f>
        <v>0.09425</v>
      </c>
      <c r="C40" s="87"/>
      <c r="D40" s="35" t="str">
        <f>IF(B40=0,"","Vorsorgepauschale berücksichtigt: 7,0% (=reduzierter Beitragssatz) + Zusatzbeitrag: "&amp;Eingabe!C13&amp;"% + "&amp;B13&amp;" (PV)")</f>
        <v>Vorsorgepauschale berücksichtigt: 7,0% (=reduzierter Beitragssatz) + Zusatzbeitrag: 1% + 0,01425 (PV)</v>
      </c>
    </row>
    <row r="41" spans="1:4" ht="12">
      <c r="A41" s="17" t="s">
        <v>86</v>
      </c>
      <c r="B41" s="19">
        <f>IF(B12&gt;0,B12,ROUNDDOWN(MIN(B25,50850)*B40*100,0)/100)</f>
        <v>1002.64</v>
      </c>
      <c r="C41" s="87"/>
      <c r="D41" s="88"/>
    </row>
    <row r="42" spans="1:4" ht="12">
      <c r="A42" s="17" t="s">
        <v>87</v>
      </c>
      <c r="B42" s="19">
        <f>IF(B41&gt;B39,B41,B39)</f>
        <v>1276.57</v>
      </c>
      <c r="C42" s="87"/>
      <c r="D42" s="89"/>
    </row>
    <row r="43" spans="1:4" ht="12">
      <c r="A43" s="17" t="s">
        <v>46</v>
      </c>
      <c r="B43" s="19">
        <f>ROUNDUP(B37+B42,0)</f>
        <v>1914</v>
      </c>
      <c r="C43" s="87"/>
      <c r="D43" s="35"/>
    </row>
    <row r="44" spans="1:2" ht="12">
      <c r="A44" s="17"/>
      <c r="B44" s="19"/>
    </row>
    <row r="45" spans="1:2" ht="12">
      <c r="A45" s="9" t="s">
        <v>26</v>
      </c>
      <c r="B45" s="10"/>
    </row>
    <row r="46" spans="1:2" ht="12">
      <c r="A46" s="1" t="s">
        <v>15</v>
      </c>
      <c r="B46" s="15">
        <f>ROUNDDOWN(B24-B33-B43,0)</f>
        <v>7688</v>
      </c>
    </row>
    <row r="47" spans="1:2" ht="12">
      <c r="A47" s="1" t="s">
        <v>21</v>
      </c>
      <c r="B47" s="15">
        <f>MAX(0,ROUNDDOWN(B46/B28,0))</f>
        <v>7688</v>
      </c>
    </row>
    <row r="49" spans="1:2" ht="12">
      <c r="A49" s="9" t="s">
        <v>68</v>
      </c>
      <c r="B49" s="10"/>
    </row>
    <row r="50" spans="1:2" ht="12">
      <c r="A50" s="1" t="s">
        <v>17</v>
      </c>
      <c r="B50" s="1">
        <f>IF(B47&lt;=8652,0,IF(B47&lt;=13669,INT((993.62*(B47-8652)/10000+1400)*(B47-8652)/10000),IF(B47&lt;=53665,INT((225.4*(B47-13669)/10000+2397)*(B47-13669)/10000+952.48),IF(B47&lt;=254446,INT(B47*0.42-8394.14),INT(B47*0.45-16027.52)))))*B28</f>
        <v>0</v>
      </c>
    </row>
    <row r="51" ht="12">
      <c r="A51" s="12"/>
    </row>
    <row r="52" spans="1:2" ht="12">
      <c r="A52" s="9" t="s">
        <v>20</v>
      </c>
      <c r="B52" s="10"/>
    </row>
    <row r="53" ht="12">
      <c r="B53" s="15"/>
    </row>
    <row r="54" spans="1:2" ht="12">
      <c r="A54" s="1" t="s">
        <v>16</v>
      </c>
      <c r="B54" s="15">
        <f>MIN(26832,B47)*1.25</f>
        <v>9610</v>
      </c>
    </row>
    <row r="55" spans="1:2" ht="12">
      <c r="A55" s="1" t="s">
        <v>22</v>
      </c>
      <c r="B55" s="1">
        <f>IF(B54&lt;=8652,0,IF(B54&lt;=13669,INT((993.62*(B54-8652)/10000+1400)*(B54-8652)/10000),IF(B54&lt;=53665,INT((225.4*(B54-13669)/10000+2397)*(B54-13669)/10000+952.48),IF(B54&lt;=254446,INT(B54*0.42-8394.14),INT(B54*0.45-16027.52)))))</f>
        <v>143</v>
      </c>
    </row>
    <row r="56" spans="1:2" ht="12">
      <c r="A56" s="1" t="s">
        <v>16</v>
      </c>
      <c r="B56" s="15">
        <f>MIN(26832,B47)*0.75</f>
        <v>5766</v>
      </c>
    </row>
    <row r="57" spans="1:2" ht="12">
      <c r="A57" s="1" t="s">
        <v>23</v>
      </c>
      <c r="B57" s="1">
        <f>IF(B56&lt;=8652,0,IF(B56&lt;=13669,INT((993.62*(B56-8652)/10000+1400)*(B56-8652)/10000),IF(B56&lt;=53665,INT((225.4*(B56-13669)/10000+2397)*(B56-13669)/10000+952.48),IF(B56&lt;=254446,INT(B56*0.42-8394.14),INT(B56*0.45-16027.52)))))</f>
        <v>0</v>
      </c>
    </row>
    <row r="58" spans="1:2" ht="12">
      <c r="A58" s="1" t="s">
        <v>24</v>
      </c>
      <c r="B58" s="15">
        <f>(B55-B57)*2</f>
        <v>286</v>
      </c>
    </row>
    <row r="59" spans="1:2" ht="12">
      <c r="A59" s="1" t="s">
        <v>25</v>
      </c>
      <c r="B59" s="1">
        <f>ROUNDDOWN(MIN(B47,26832)*0.14,0)</f>
        <v>1076</v>
      </c>
    </row>
    <row r="60" spans="1:2" ht="12">
      <c r="A60" s="1" t="s">
        <v>17</v>
      </c>
      <c r="B60" s="15">
        <f>MAX(B58,B59)</f>
        <v>1076</v>
      </c>
    </row>
    <row r="61" spans="1:2" ht="12">
      <c r="A61" s="1" t="s">
        <v>17</v>
      </c>
      <c r="B61" s="15">
        <f>IF(B47&gt;203557,(203557-26832)*0.42+B60,ROUNDDOWN(MAX(B47-26832,0)*0.42+B60,0))</f>
        <v>1076</v>
      </c>
    </row>
    <row r="62" spans="1:4" ht="12">
      <c r="A62" s="1" t="s">
        <v>62</v>
      </c>
      <c r="B62" s="1">
        <f>IF(AND(B47&gt;10070,B47&lt;=26832),B60,0)</f>
        <v>0</v>
      </c>
      <c r="D62" s="15"/>
    </row>
    <row r="63" spans="1:4" ht="12">
      <c r="A63" s="1" t="s">
        <v>17</v>
      </c>
      <c r="B63" s="15">
        <f>ROUNDDOWN(10070*0.14,0)</f>
        <v>1409</v>
      </c>
      <c r="D63" s="95"/>
    </row>
    <row r="64" spans="1:4" ht="12">
      <c r="A64" s="1" t="s">
        <v>17</v>
      </c>
      <c r="B64" s="15">
        <f>MIN(ROUNDDOWN(MAX(B47-10070,0)*0.42+B63,0),B61)</f>
        <v>1076</v>
      </c>
      <c r="D64" s="1" t="s">
        <v>127</v>
      </c>
    </row>
    <row r="65" spans="1:2" ht="12">
      <c r="A65" s="1" t="s">
        <v>63</v>
      </c>
      <c r="B65" s="15">
        <f>ROUNDDOWN(MAX(B47-203557,0)*0.45+B64,0)</f>
        <v>1076</v>
      </c>
    </row>
    <row r="66" spans="1:4" ht="12">
      <c r="A66" s="1" t="s">
        <v>18</v>
      </c>
      <c r="B66" s="1">
        <f>ROUNDDOWN(IF(B8&lt;5,B50,B65)*B14,0)</f>
        <v>1076</v>
      </c>
      <c r="D66" s="1" t="s">
        <v>107</v>
      </c>
    </row>
    <row r="67" spans="1:4" ht="12">
      <c r="A67" s="1" t="s">
        <v>5</v>
      </c>
      <c r="B67" s="1">
        <f>B66*100</f>
        <v>107600</v>
      </c>
      <c r="D67" s="1" t="s">
        <v>108</v>
      </c>
    </row>
    <row r="68" ht="12">
      <c r="D68" s="1" t="s">
        <v>109</v>
      </c>
    </row>
    <row r="69" spans="1:2" ht="12">
      <c r="A69" s="9" t="s">
        <v>61</v>
      </c>
      <c r="B69" s="10"/>
    </row>
    <row r="71" spans="1:2" ht="12">
      <c r="A71" s="1" t="s">
        <v>37</v>
      </c>
      <c r="B71" s="1">
        <f>IF(B5=1,B67,IF(B5=2,ROUNDDOWN(B67/12,0),IF(B5=3,ROUNDDOWN((B67*7)/360,0),ROUNDDOWN(B67/360,0))))</f>
        <v>8966</v>
      </c>
    </row>
    <row r="72" spans="1:2" ht="12">
      <c r="A72" s="1" t="s">
        <v>14</v>
      </c>
      <c r="B72" s="1">
        <f>B32+B33</f>
        <v>1036</v>
      </c>
    </row>
    <row r="73" spans="1:2" ht="12">
      <c r="A73" s="1" t="s">
        <v>15</v>
      </c>
      <c r="B73" s="15">
        <f>B24-B43-B72</f>
        <v>7688.120000000001</v>
      </c>
    </row>
    <row r="74" spans="1:2" ht="12">
      <c r="A74" s="1" t="s">
        <v>40</v>
      </c>
      <c r="B74" s="1">
        <f>IF(B73&lt;36,0,ROUNDDOWN(B73/B28,0))</f>
        <v>7688</v>
      </c>
    </row>
    <row r="75" spans="1:4" ht="12">
      <c r="A75" s="1" t="s">
        <v>17</v>
      </c>
      <c r="B75" s="1">
        <f>IF(B74&lt;=8652,0,IF(B74&lt;=13669,INT((993.62*(B74-8652)/10000+1400)*(B74-8652)/10000),IF(B74&lt;=53665,INT((225.4*(B74-13669)/10000+2397)*(B74-13669)/10000+952.48),IF(B74&lt;=254446,INT(B74*0.42-8394.14),INT(B74*0.45-16027.52)))))*B28</f>
        <v>0</v>
      </c>
      <c r="D75" s="1" t="s">
        <v>107</v>
      </c>
    </row>
    <row r="76" spans="1:4" ht="12">
      <c r="A76" s="1" t="s">
        <v>27</v>
      </c>
      <c r="B76" s="1">
        <f>IF(B4&gt;0,ROUNDDOWN(B75*B14,0),B66)</f>
        <v>1076</v>
      </c>
      <c r="D76" s="1" t="s">
        <v>110</v>
      </c>
    </row>
    <row r="78" spans="1:2" ht="12">
      <c r="A78" s="9" t="s">
        <v>28</v>
      </c>
      <c r="B78" s="10"/>
    </row>
    <row r="79" spans="1:2" ht="12">
      <c r="A79" s="1" t="s">
        <v>29</v>
      </c>
      <c r="B79" s="1">
        <f>972*B28</f>
        <v>972</v>
      </c>
    </row>
    <row r="80" spans="1:2" ht="12">
      <c r="A80" s="1" t="s">
        <v>30</v>
      </c>
      <c r="B80" s="19">
        <f>ROUNDDOWN((B76*5.5)/100,2)</f>
        <v>59.18</v>
      </c>
    </row>
    <row r="81" spans="1:2" ht="12">
      <c r="A81" s="1" t="s">
        <v>31</v>
      </c>
      <c r="B81" s="19">
        <f>((B76-B79)*20)/100</f>
        <v>20.8</v>
      </c>
    </row>
    <row r="82" spans="1:5" ht="12">
      <c r="A82" s="1" t="s">
        <v>30</v>
      </c>
      <c r="B82" s="19">
        <f>MIN(B81,B80)</f>
        <v>20.8</v>
      </c>
      <c r="E82" s="19"/>
    </row>
    <row r="83" spans="1:2" ht="12">
      <c r="A83" s="1" t="s">
        <v>5</v>
      </c>
      <c r="B83" s="1">
        <f>B82*100</f>
        <v>2080</v>
      </c>
    </row>
    <row r="85" spans="1:2" ht="12">
      <c r="A85" s="9" t="s">
        <v>60</v>
      </c>
      <c r="B85" s="10"/>
    </row>
    <row r="86" spans="1:2" ht="12">
      <c r="A86" s="1" t="s">
        <v>19</v>
      </c>
      <c r="B86" s="1">
        <f>ROUNDDOWN(IF(B5=1,B83,IF(B5=2,B83/12,IF(B5=3,(B83*7)/360,B83/360))),0)</f>
        <v>173</v>
      </c>
    </row>
    <row r="87" spans="1:2" ht="12">
      <c r="A87" s="1" t="s">
        <v>38</v>
      </c>
      <c r="B87" s="1">
        <f>IF(B76&gt;B79,B86,0)</f>
        <v>173</v>
      </c>
    </row>
    <row r="88" spans="1:2" ht="12">
      <c r="A88" s="1" t="s">
        <v>5</v>
      </c>
      <c r="B88" s="1">
        <f>B76*100</f>
        <v>107600</v>
      </c>
    </row>
    <row r="90" spans="1:2" ht="12">
      <c r="A90" s="9" t="s">
        <v>32</v>
      </c>
      <c r="B90" s="10"/>
    </row>
    <row r="91" spans="1:2" ht="12">
      <c r="A91" s="1" t="s">
        <v>19</v>
      </c>
      <c r="B91" s="1">
        <f>ROUNDDOWN(IF(B5=1,B88,IF(B5=2,B88/12,IF(B5=3,(B88*7)/360,B88/360))),0)</f>
        <v>8966</v>
      </c>
    </row>
    <row r="92" spans="1:2" ht="12">
      <c r="A92" s="1" t="s">
        <v>32</v>
      </c>
      <c r="B92" s="1">
        <f>B91</f>
        <v>8966</v>
      </c>
    </row>
  </sheetData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http://www.parmentier.de/steuer/entgeldumwandlung11.xls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Lohnsteuerberechnung 2013 mit Zellfunktionen</dc:title>
  <dc:subject>bAV berücksichtigen</dc:subject>
  <dc:creator>Claus Becker update: W.Parmentier</dc:creator>
  <cp:keywords/>
  <dc:description/>
  <cp:lastModifiedBy>Johannes Parmentier</cp:lastModifiedBy>
  <cp:lastPrinted>2008-04-25T10:37:48Z</cp:lastPrinted>
  <dcterms:created xsi:type="dcterms:W3CDTF">1999-02-09T12:11:13Z</dcterms:created>
  <dcterms:modified xsi:type="dcterms:W3CDTF">2016-03-28T15:15:50Z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