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6" yWindow="468" windowWidth="32766" windowHeight="20460" activeTab="0"/>
  </bookViews>
  <sheets>
    <sheet name="Eingabe" sheetId="1" r:id="rId1"/>
    <sheet name="Berechnung" sheetId="2" r:id="rId2"/>
    <sheet name="Berechnung2" sheetId="3" r:id="rId3"/>
    <sheet name="Parameter" sheetId="4" r:id="rId4"/>
  </sheets>
  <definedNames>
    <definedName name="BearbJahr">'Parameter'!$B$1</definedName>
  </definedNames>
  <calcPr fullCalcOnLoad="1" iterate="1" iterateCount="5" iterateDelta="0.1"/>
</workbook>
</file>

<file path=xl/comments1.xml><?xml version="1.0" encoding="utf-8"?>
<comments xmlns="http://schemas.openxmlformats.org/spreadsheetml/2006/main">
  <authors>
    <author>Parmentier</author>
  </authors>
  <commentList>
    <comment ref="A13" authorId="0">
      <text>
        <r>
          <rPr>
            <b/>
            <sz val="8"/>
            <rFont val="Tahoma"/>
            <family val="0"/>
          </rPr>
          <t>Eigenanteil = gegfalls Arbeitgeberanteil abgezogen. Nur Anteil des AN für Grundsicherung  eintragen!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1HG</author>
    <author>Herbert Grom</author>
  </authors>
  <commentList>
    <comment ref="A15" authorId="0">
      <text>
        <r>
          <rPr>
            <sz val="10"/>
            <rFont val="Arial"/>
            <family val="2"/>
          </rPr>
          <t>WEST</t>
        </r>
      </text>
    </comment>
    <comment ref="A16" authorId="0">
      <text>
        <r>
          <rPr>
            <sz val="10"/>
            <rFont val="Arial"/>
            <family val="2"/>
          </rPr>
          <t>OST</t>
        </r>
      </text>
    </comment>
    <comment ref="B19" authorId="1">
      <text>
        <r>
          <rPr>
            <sz val="10"/>
            <rFont val="Arial"/>
            <family val="2"/>
          </rPr>
          <t xml:space="preserve">Basis 2015 ist 0,60. 
</t>
        </r>
        <r>
          <rPr>
            <sz val="10"/>
            <rFont val="Arial"/>
            <family val="2"/>
          </rPr>
          <t>Jedes folgende Jahr + 0,04</t>
        </r>
      </text>
    </comment>
    <comment ref="A28" authorId="0">
      <text>
        <r>
          <rPr>
            <sz val="10"/>
            <rFont val="Arial"/>
            <family val="2"/>
          </rPr>
          <t>KinderFreibeträge</t>
        </r>
      </text>
    </comment>
  </commentList>
</comments>
</file>

<file path=xl/sharedStrings.xml><?xml version="1.0" encoding="utf-8"?>
<sst xmlns="http://schemas.openxmlformats.org/spreadsheetml/2006/main" count="295" uniqueCount="142">
  <si>
    <t>ALTER1</t>
  </si>
  <si>
    <t>KRV</t>
  </si>
  <si>
    <t>LZZ</t>
  </si>
  <si>
    <t>STKL</t>
  </si>
  <si>
    <t>ZKF</t>
  </si>
  <si>
    <t>JW</t>
  </si>
  <si>
    <t>ALTE</t>
  </si>
  <si>
    <t>MRE4</t>
  </si>
  <si>
    <t>ZRE4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</si>
  <si>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</si>
  <si>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</si>
  <si>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</si>
  <si>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</si>
  <si>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</si>
  <si>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</si>
  <si>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</si>
  <si>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</si>
  <si>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</si>
  <si>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</si>
  <si>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</si>
  <si>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</si>
  <si>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ZZX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</si>
  <si>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</si>
  <si>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</si>
  <si>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</si>
  <si>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</si>
  <si>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</si>
  <si>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</si>
  <si>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</si>
  <si>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</si>
  <si>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</si>
  <si>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</si>
  <si>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</si>
  <si>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</si>
  <si>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</si>
  <si>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</si>
  <si>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</si>
  <si>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</si>
  <si>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</si>
  <si>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</si>
  <si>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</si>
  <si>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 xml:space="preserve"> </t>
  </si>
  <si>
    <t>UPEVP</t>
  </si>
  <si>
    <t>VSP1</t>
  </si>
  <si>
    <t>VSP2</t>
  </si>
  <si>
    <t>VHB</t>
  </si>
  <si>
    <t>VSPN</t>
  </si>
  <si>
    <t>Steuerpflichtiger Arbeitslohn</t>
  </si>
  <si>
    <t>€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</si>
  <si>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</si>
  <si>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</si>
  <si>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0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</si>
  <si>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</si>
  <si>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</si>
  <si>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Ostdeutschland nein=0 ja=1</t>
  </si>
  <si>
    <t>Sachsen nein=0 ja=1</t>
  </si>
  <si>
    <t>(Jahres)lohnsteuerfreibetrag auf LStKarte</t>
  </si>
  <si>
    <t>Abzüge</t>
  </si>
  <si>
    <t>Nettolohn</t>
  </si>
  <si>
    <t>(Jahres)Hinzurechnungen</t>
  </si>
  <si>
    <t>SOLZ</t>
  </si>
  <si>
    <t>MLSTJAHR</t>
  </si>
  <si>
    <t>VERGL</t>
  </si>
  <si>
    <t>MIT REICHST</t>
  </si>
  <si>
    <t>MRE4ALTE</t>
  </si>
  <si>
    <t>ZRE4J</t>
  </si>
  <si>
    <t>JLHINZU</t>
  </si>
  <si>
    <t>JLFREIB</t>
  </si>
  <si>
    <t>ohne bAV</t>
  </si>
  <si>
    <t>mit bAV</t>
  </si>
  <si>
    <t>bAV-Beitrag</t>
  </si>
  <si>
    <t>Bruttoarbeitsentgelt</t>
  </si>
  <si>
    <t>Effekte beim Arbeitgeber</t>
  </si>
  <si>
    <t>RV-Beitrag</t>
  </si>
  <si>
    <t>KV-Beitrag</t>
  </si>
  <si>
    <t>PV-Beitrag</t>
  </si>
  <si>
    <t>ALV-Beitrag</t>
  </si>
  <si>
    <t>Differenz</t>
  </si>
  <si>
    <t>Zusätzlich verringern sich die Beiträge</t>
  </si>
  <si>
    <t>Anm.:</t>
  </si>
  <si>
    <t>Nettoaufwand für die bAV</t>
  </si>
  <si>
    <t>Hinweisfeld</t>
  </si>
  <si>
    <t>RV-BEMES</t>
  </si>
  <si>
    <t>PKV</t>
  </si>
  <si>
    <t>PV%</t>
  </si>
  <si>
    <t>KV</t>
  </si>
  <si>
    <t>KV&gt;VHB?</t>
  </si>
  <si>
    <t>%/€</t>
  </si>
  <si>
    <t>im Jahr=1, Monat=2</t>
  </si>
  <si>
    <t>Insolvenzumlage.</t>
  </si>
  <si>
    <t>U1, U2, zur Berufsgenossenschaft und die</t>
  </si>
  <si>
    <t>Werte der Zellen B3-B15 und B40 werden von der Eingabe-Mappe geholt</t>
  </si>
  <si>
    <t>Bei Übernahme in eigenes Programm enstprechend anpassen</t>
  </si>
  <si>
    <t>RV-Bemessungsgrenzen Ost/West</t>
  </si>
  <si>
    <t>FAKTOR F</t>
  </si>
  <si>
    <t>TAB4</t>
  </si>
  <si>
    <t>TAB5</t>
  </si>
  <si>
    <t>ALTEANTEIL</t>
  </si>
  <si>
    <t>Ehegattenfaktorenverfahren</t>
  </si>
  <si>
    <t>Zell B67 mit Faktor multiplizieren (für Lohnsteuer)</t>
  </si>
  <si>
    <t>Nur wenn StKl 4 gewählt und Hinzurechnungsbetrag=0!</t>
  </si>
  <si>
    <t>Zell B76 mit Faktor multiplizieren (für Soli und Kirchensteuer)</t>
  </si>
  <si>
    <t>kinderlos u. über 23jährig (PflegeV)  ja=1 nein=0</t>
  </si>
  <si>
    <t>Krankenkassen-Zusatzbeitragsatz (d. Arbeitnehmers)</t>
  </si>
  <si>
    <t>=</t>
  </si>
  <si>
    <t>9,3% Rentenversicherung</t>
  </si>
  <si>
    <t>Sozialversicherungspflichtiger Arbeitslohn</t>
  </si>
  <si>
    <t>Vergleich Brutto - Netto Betriebliche Altersversorgung 2019</t>
  </si>
  <si>
    <t>1,25% Arbeitslosenversicherung</t>
  </si>
  <si>
    <t>LST</t>
  </si>
  <si>
    <t>UPTAB</t>
  </si>
  <si>
    <t>Bezeichnung</t>
  </si>
  <si>
    <t>SATZ</t>
  </si>
  <si>
    <t>Berechnet</t>
  </si>
  <si>
    <t>KVSATZ</t>
  </si>
  <si>
    <t>KV_Zusatz</t>
  </si>
  <si>
    <t>RV_Satz</t>
  </si>
  <si>
    <t>AV_Satz</t>
  </si>
  <si>
    <t>PV_Satz</t>
  </si>
  <si>
    <t>PV_Satz Sachsen</t>
  </si>
  <si>
    <t>ZUSATZ Kinderlos</t>
  </si>
  <si>
    <t>ZUSATZ KV Durschn.</t>
  </si>
  <si>
    <t>KVSATZ AG</t>
  </si>
  <si>
    <t>BMF - PAP - ANGABEN</t>
  </si>
  <si>
    <t>Name</t>
  </si>
  <si>
    <t>WERT</t>
  </si>
  <si>
    <t>Bereich</t>
  </si>
  <si>
    <t>BBGRV</t>
  </si>
  <si>
    <t>MPARA</t>
  </si>
  <si>
    <t>BBGKVPV</t>
  </si>
  <si>
    <t>KVSATZAG</t>
  </si>
  <si>
    <t>TBSVORV</t>
  </si>
  <si>
    <t>W1STKL5</t>
  </si>
  <si>
    <t>W2STKL5</t>
  </si>
  <si>
    <t>W3STKL5</t>
  </si>
  <si>
    <t>GFB</t>
  </si>
  <si>
    <t>VHB / VSP2</t>
  </si>
  <si>
    <t>SOLI</t>
  </si>
  <si>
    <t>UPTAB19</t>
  </si>
  <si>
    <t>7,0% + KVZusatz + PV</t>
  </si>
  <si>
    <r>
      <t xml:space="preserve">Krankenversicherung/ </t>
    </r>
    <r>
      <rPr>
        <b/>
        <sz val="10"/>
        <rFont val="Arial"/>
        <family val="2"/>
      </rPr>
      <t>Eigenanteil</t>
    </r>
    <r>
      <rPr>
        <sz val="10"/>
        <rFont val="Arial"/>
        <family val="0"/>
      </rPr>
      <t xml:space="preserve"> PKV in €</t>
    </r>
  </si>
  <si>
    <t>Stand 07.01.2019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</si>
</sst>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00"/>
    <numFmt numFmtId="182" formatCode="0.000000"/>
    <numFmt numFmtId="183" formatCode="0.000"/>
    <numFmt numFmtId="184" formatCode="#,##0_ ;\-#,##0\ "/>
    <numFmt numFmtId="185" formatCode="0_ ;\-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_-* #,##0.00\ [$€-1]_-;\-* #,##0.00\ [$€-1]_-;_-* &quot;-&quot;??\ [$€-1]_-"/>
    <numFmt numFmtId="190" formatCode="0.0000_ ;\-0.0000\ "/>
    <numFmt numFmtId="191" formatCode="0.000_ ;\-0.000\ "/>
    <numFmt numFmtId="192" formatCode="#,##0.000\ _€;\-#,##0.000\ _€"/>
    <numFmt numFmtId="193" formatCode="0.00_ ;\-0.00\ "/>
    <numFmt numFmtId="194" formatCode="0.0_ ;\-0.0\ "/>
    <numFmt numFmtId="195" formatCode="#,##0.00_ ;\-#,##0.00\ "/>
    <numFmt numFmtId="196" formatCode="#,##0.00\ &quot;€&quot;"/>
    <numFmt numFmtId="197" formatCode="#,##0.00\ _€"/>
    <numFmt numFmtId="198" formatCode="0.00000_ ;\-0.00000\ "/>
    <numFmt numFmtId="199" formatCode="0.0000"/>
    <numFmt numFmtId="200" formatCode="0.000%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5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 horizontal="center"/>
    </xf>
    <xf numFmtId="18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85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185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0" fillId="0" borderId="0" xfId="0" applyNumberFormat="1" applyBorder="1" applyAlignment="1">
      <alignment/>
    </xf>
    <xf numFmtId="0" fontId="1" fillId="34" borderId="0" xfId="0" applyFont="1" applyFill="1" applyAlignment="1" applyProtection="1">
      <alignment/>
      <protection hidden="1"/>
    </xf>
    <xf numFmtId="185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95" fontId="0" fillId="0" borderId="0" xfId="60" applyNumberFormat="1" applyFont="1" applyBorder="1" applyAlignment="1">
      <alignment/>
    </xf>
    <xf numFmtId="195" fontId="0" fillId="0" borderId="11" xfId="6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4" xfId="0" applyFont="1" applyFill="1" applyBorder="1" applyAlignment="1">
      <alignment horizontal="center"/>
    </xf>
    <xf numFmtId="2" fontId="9" fillId="34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196" fontId="0" fillId="0" borderId="0" xfId="0" applyNumberFormat="1" applyAlignment="1">
      <alignment/>
    </xf>
    <xf numFmtId="196" fontId="0" fillId="0" borderId="11" xfId="0" applyNumberFormat="1" applyBorder="1" applyAlignment="1">
      <alignment/>
    </xf>
    <xf numFmtId="196" fontId="0" fillId="0" borderId="10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96" fontId="0" fillId="0" borderId="15" xfId="0" applyNumberForma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2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right"/>
    </xf>
    <xf numFmtId="4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2" fontId="9" fillId="34" borderId="18" xfId="0" applyNumberFormat="1" applyFont="1" applyFill="1" applyBorder="1" applyAlignment="1">
      <alignment/>
    </xf>
    <xf numFmtId="2" fontId="9" fillId="34" borderId="14" xfId="0" applyNumberFormat="1" applyFont="1" applyFill="1" applyBorder="1" applyAlignment="1">
      <alignment/>
    </xf>
    <xf numFmtId="0" fontId="0" fillId="0" borderId="0" xfId="0" applyBorder="1" applyAlignment="1">
      <alignment vertical="top"/>
    </xf>
    <xf numFmtId="2" fontId="0" fillId="35" borderId="0" xfId="0" applyNumberFormat="1" applyFill="1" applyBorder="1" applyAlignment="1">
      <alignment/>
    </xf>
    <xf numFmtId="193" fontId="0" fillId="0" borderId="0" xfId="0" applyNumberFormat="1" applyFill="1" applyAlignment="1" applyProtection="1">
      <alignment horizontal="right"/>
      <protection hidden="1"/>
    </xf>
    <xf numFmtId="198" fontId="0" fillId="0" borderId="0" xfId="0" applyNumberFormat="1" applyFill="1" applyAlignment="1" applyProtection="1">
      <alignment horizontal="right"/>
      <protection hidden="1"/>
    </xf>
    <xf numFmtId="181" fontId="0" fillId="0" borderId="0" xfId="0" applyNumberForma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1" fillId="0" borderId="0" xfId="0" applyFont="1" applyFill="1" applyAlignment="1" applyProtection="1">
      <alignment vertical="top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>
      <alignment vertical="top"/>
    </xf>
    <xf numFmtId="199" fontId="0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98" fontId="0" fillId="0" borderId="0" xfId="0" applyNumberFormat="1" applyFill="1" applyAlignment="1">
      <alignment/>
    </xf>
    <xf numFmtId="14" fontId="8" fillId="36" borderId="19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0" fillId="0" borderId="0" xfId="0" applyFill="1" applyAlignment="1" applyProtection="1" quotePrefix="1">
      <alignment/>
      <protection hidden="1"/>
    </xf>
    <xf numFmtId="183" fontId="0" fillId="0" borderId="0" xfId="0" applyNumberFormat="1" applyFill="1" applyAlignment="1" applyProtection="1">
      <alignment/>
      <protection hidden="1"/>
    </xf>
    <xf numFmtId="0" fontId="0" fillId="36" borderId="20" xfId="0" applyFill="1" applyBorder="1" applyAlignment="1">
      <alignment/>
    </xf>
    <xf numFmtId="0" fontId="4" fillId="0" borderId="0" xfId="48" applyAlignment="1" applyProtection="1">
      <alignment vertical="top"/>
      <protection/>
    </xf>
    <xf numFmtId="0" fontId="4" fillId="0" borderId="0" xfId="48" applyFont="1" applyAlignment="1" applyProtection="1">
      <alignment vertical="top"/>
      <protection/>
    </xf>
    <xf numFmtId="0" fontId="15" fillId="37" borderId="21" xfId="0" applyFont="1" applyFill="1" applyBorder="1" applyAlignment="1">
      <alignment horizontal="centerContinuous" vertical="center"/>
    </xf>
    <xf numFmtId="0" fontId="16" fillId="37" borderId="22" xfId="0" applyFont="1" applyFill="1" applyBorder="1" applyAlignment="1">
      <alignment horizontal="centerContinuous"/>
    </xf>
    <xf numFmtId="0" fontId="16" fillId="37" borderId="19" xfId="0" applyFont="1" applyFill="1" applyBorder="1" applyAlignment="1">
      <alignment horizontal="centerContinuous"/>
    </xf>
    <xf numFmtId="0" fontId="17" fillId="37" borderId="23" xfId="0" applyFont="1" applyFill="1" applyBorder="1" applyAlignment="1">
      <alignment/>
    </xf>
    <xf numFmtId="0" fontId="17" fillId="37" borderId="24" xfId="0" applyFont="1" applyFill="1" applyBorder="1" applyAlignment="1">
      <alignment horizontal="center"/>
    </xf>
    <xf numFmtId="0" fontId="17" fillId="37" borderId="23" xfId="0" applyFont="1" applyFill="1" applyBorder="1" applyAlignment="1">
      <alignment horizontal="right"/>
    </xf>
    <xf numFmtId="0" fontId="0" fillId="0" borderId="20" xfId="53" applyFont="1" applyFill="1" applyBorder="1" applyAlignment="1">
      <alignment vertical="center"/>
      <protection/>
    </xf>
    <xf numFmtId="200" fontId="0" fillId="36" borderId="22" xfId="53" applyNumberFormat="1" applyFont="1" applyFill="1" applyBorder="1" applyAlignment="1">
      <alignment horizontal="right" vertical="center" indent="1"/>
      <protection/>
    </xf>
    <xf numFmtId="200" fontId="0" fillId="38" borderId="22" xfId="53" applyNumberFormat="1" applyFont="1" applyFill="1" applyBorder="1" applyAlignment="1">
      <alignment horizontal="right" vertical="center" indent="1"/>
      <protection/>
    </xf>
    <xf numFmtId="0" fontId="0" fillId="0" borderId="19" xfId="53" applyFont="1" applyFill="1" applyBorder="1" applyAlignment="1">
      <alignment vertical="center"/>
      <protection/>
    </xf>
    <xf numFmtId="10" fontId="0" fillId="36" borderId="19" xfId="53" applyNumberFormat="1" applyFont="1" applyFill="1" applyBorder="1" applyAlignment="1">
      <alignment horizontal="right" vertical="center" indent="1"/>
      <protection/>
    </xf>
    <xf numFmtId="10" fontId="0" fillId="36" borderId="20" xfId="53" applyNumberFormat="1" applyFont="1" applyFill="1" applyBorder="1" applyAlignment="1">
      <alignment horizontal="right" vertical="center" indent="1"/>
      <protection/>
    </xf>
    <xf numFmtId="200" fontId="0" fillId="38" borderId="19" xfId="0" applyNumberFormat="1" applyFill="1" applyBorder="1" applyAlignment="1">
      <alignment/>
    </xf>
    <xf numFmtId="0" fontId="0" fillId="0" borderId="19" xfId="53" applyFont="1" applyFill="1" applyBorder="1" applyAlignment="1">
      <alignment vertical="center"/>
      <protection/>
    </xf>
    <xf numFmtId="0" fontId="0" fillId="38" borderId="19" xfId="0" applyFill="1" applyBorder="1" applyAlignment="1">
      <alignment/>
    </xf>
    <xf numFmtId="10" fontId="0" fillId="36" borderId="19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15" fillId="37" borderId="21" xfId="53" applyFont="1" applyFill="1" applyBorder="1" applyAlignment="1" applyProtection="1">
      <alignment horizontal="centerContinuous"/>
      <protection hidden="1"/>
    </xf>
    <xf numFmtId="0" fontId="12" fillId="37" borderId="14" xfId="53" applyFont="1" applyFill="1" applyBorder="1" applyAlignment="1" applyProtection="1">
      <alignment horizontal="centerContinuous"/>
      <protection hidden="1"/>
    </xf>
    <xf numFmtId="0" fontId="12" fillId="37" borderId="22" xfId="53" applyFont="1" applyFill="1" applyBorder="1" applyAlignment="1" applyProtection="1">
      <alignment horizontal="centerContinuous"/>
      <protection hidden="1"/>
    </xf>
    <xf numFmtId="0" fontId="17" fillId="37" borderId="25" xfId="53" applyFont="1" applyFill="1" applyBorder="1" applyAlignment="1" applyProtection="1">
      <alignment/>
      <protection hidden="1"/>
    </xf>
    <xf numFmtId="0" fontId="17" fillId="37" borderId="25" xfId="0" applyFont="1" applyFill="1" applyBorder="1" applyAlignment="1">
      <alignment horizontal="center"/>
    </xf>
    <xf numFmtId="3" fontId="0" fillId="36" borderId="20" xfId="53" applyNumberFormat="1" applyFont="1" applyFill="1" applyBorder="1" applyAlignment="1" applyProtection="1">
      <alignment horizontal="right" indent="1"/>
      <protection hidden="1"/>
    </xf>
    <xf numFmtId="0" fontId="1" fillId="0" borderId="26" xfId="53" applyFont="1" applyFill="1" applyBorder="1" applyAlignment="1">
      <alignment/>
      <protection/>
    </xf>
    <xf numFmtId="3" fontId="0" fillId="36" borderId="19" xfId="53" applyNumberFormat="1" applyFont="1" applyFill="1" applyBorder="1" applyAlignment="1" applyProtection="1">
      <alignment horizontal="right" indent="1"/>
      <protection hidden="1"/>
    </xf>
    <xf numFmtId="0" fontId="0" fillId="0" borderId="27" xfId="53" applyFont="1" applyFill="1" applyBorder="1" applyAlignment="1">
      <alignment/>
      <protection/>
    </xf>
    <xf numFmtId="181" fontId="0" fillId="36" borderId="19" xfId="53" applyNumberFormat="1" applyFont="1" applyFill="1" applyBorder="1" applyAlignment="1">
      <alignment horizontal="right" vertical="center" indent="1"/>
      <protection/>
    </xf>
    <xf numFmtId="0" fontId="0" fillId="0" borderId="28" xfId="53" applyFont="1" applyFill="1" applyBorder="1" applyAlignment="1">
      <alignment vertical="center"/>
      <protection/>
    </xf>
    <xf numFmtId="4" fontId="0" fillId="36" borderId="28" xfId="53" applyNumberFormat="1" applyFont="1" applyFill="1" applyBorder="1" applyAlignment="1">
      <alignment horizontal="right" vertical="center" indent="1"/>
      <protection/>
    </xf>
    <xf numFmtId="0" fontId="0" fillId="0" borderId="19" xfId="53" applyFont="1" applyFill="1" applyBorder="1" applyAlignment="1">
      <alignment/>
      <protection/>
    </xf>
    <xf numFmtId="3" fontId="0" fillId="36" borderId="19" xfId="53" applyNumberFormat="1" applyFont="1" applyFill="1" applyBorder="1" applyAlignment="1" applyProtection="1">
      <alignment horizontal="right" vertical="center" indent="1"/>
      <protection hidden="1"/>
    </xf>
    <xf numFmtId="0" fontId="0" fillId="0" borderId="25" xfId="53" applyFont="1" applyFill="1" applyBorder="1" applyAlignment="1">
      <alignment/>
      <protection/>
    </xf>
    <xf numFmtId="4" fontId="0" fillId="36" borderId="25" xfId="53" applyNumberFormat="1" applyFont="1" applyFill="1" applyBorder="1" applyAlignment="1" applyProtection="1">
      <alignment horizontal="right" vertical="center" indent="1"/>
      <protection hidden="1"/>
    </xf>
    <xf numFmtId="0" fontId="0" fillId="0" borderId="29" xfId="53" applyFont="1" applyFill="1" applyBorder="1" applyAlignment="1">
      <alignment/>
      <protection/>
    </xf>
    <xf numFmtId="3" fontId="0" fillId="36" borderId="19" xfId="53" applyNumberFormat="1" applyFont="1" applyFill="1" applyBorder="1" applyAlignment="1">
      <alignment horizontal="right" vertical="center" indent="1"/>
      <protection/>
    </xf>
    <xf numFmtId="0" fontId="1" fillId="0" borderId="27" xfId="53" applyFont="1" applyFill="1" applyBorder="1" applyAlignment="1">
      <alignment vertical="center"/>
      <protection/>
    </xf>
    <xf numFmtId="3" fontId="0" fillId="36" borderId="28" xfId="53" applyNumberFormat="1" applyFont="1" applyFill="1" applyBorder="1" applyAlignment="1">
      <alignment horizontal="right" vertical="center" indent="1"/>
      <protection/>
    </xf>
    <xf numFmtId="0" fontId="0" fillId="0" borderId="25" xfId="53" applyFont="1" applyFill="1" applyBorder="1" applyAlignment="1">
      <alignment vertical="center"/>
      <protection/>
    </xf>
    <xf numFmtId="3" fontId="0" fillId="36" borderId="25" xfId="53" applyNumberFormat="1" applyFont="1" applyFill="1" applyBorder="1" applyAlignment="1">
      <alignment horizontal="right" vertical="center" indent="1"/>
      <protection/>
    </xf>
    <xf numFmtId="3" fontId="0" fillId="36" borderId="20" xfId="53" applyNumberFormat="1" applyFont="1" applyFill="1" applyBorder="1" applyAlignment="1">
      <alignment horizontal="right" vertical="center" indent="1"/>
      <protection/>
    </xf>
    <xf numFmtId="0" fontId="1" fillId="0" borderId="27" xfId="53" applyFont="1" applyFill="1" applyBorder="1" applyAlignment="1">
      <alignment/>
      <protection/>
    </xf>
    <xf numFmtId="0" fontId="0" fillId="0" borderId="26" xfId="53" applyFont="1" applyFill="1" applyBorder="1" applyAlignment="1">
      <alignment/>
      <protection/>
    </xf>
    <xf numFmtId="4" fontId="0" fillId="36" borderId="20" xfId="53" applyNumberFormat="1" applyFont="1" applyFill="1" applyBorder="1" applyAlignment="1" applyProtection="1">
      <alignment horizontal="right" vertical="center" indent="1"/>
      <protection hidden="1"/>
    </xf>
    <xf numFmtId="4" fontId="0" fillId="36" borderId="29" xfId="53" applyNumberFormat="1" applyFont="1" applyFill="1" applyBorder="1" applyAlignment="1" applyProtection="1">
      <alignment horizontal="right" vertical="center" indent="1"/>
      <protection hidden="1"/>
    </xf>
    <xf numFmtId="0" fontId="1" fillId="0" borderId="29" xfId="53" applyFont="1" applyFill="1" applyBorder="1" applyAlignment="1">
      <alignment/>
      <protection/>
    </xf>
    <xf numFmtId="4" fontId="0" fillId="36" borderId="19" xfId="53" applyNumberFormat="1" applyFont="1" applyFill="1" applyBorder="1" applyAlignment="1" applyProtection="1">
      <alignment horizontal="right" vertical="center" indent="1"/>
      <protection hidden="1"/>
    </xf>
    <xf numFmtId="0" fontId="0" fillId="0" borderId="20" xfId="53" applyFont="1" applyFill="1" applyBorder="1" applyAlignment="1">
      <alignment/>
      <protection/>
    </xf>
    <xf numFmtId="3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48" applyAlignment="1" applyProtection="1">
      <alignment vertical="top"/>
      <protection/>
    </xf>
    <xf numFmtId="0" fontId="0" fillId="0" borderId="0" xfId="0" applyAlignment="1">
      <alignment/>
    </xf>
    <xf numFmtId="0" fontId="3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 2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C36" sqref="C36:H36"/>
    </sheetView>
  </sheetViews>
  <sheetFormatPr defaultColWidth="11.421875" defaultRowHeight="12.75"/>
  <cols>
    <col min="1" max="1" width="45.00390625" style="0" customWidth="1"/>
    <col min="2" max="2" width="2.7109375" style="33" customWidth="1"/>
    <col min="3" max="3" width="12.7109375" style="0" bestFit="1" customWidth="1"/>
    <col min="4" max="4" width="4.140625" style="0" customWidth="1"/>
    <col min="5" max="5" width="2.7109375" style="23" customWidth="1"/>
    <col min="7" max="7" width="4.28125" style="0" customWidth="1"/>
    <col min="8" max="8" width="12.140625" style="0" customWidth="1"/>
  </cols>
  <sheetData>
    <row r="1" spans="1:12" ht="12" customHeight="1">
      <c r="A1" s="66" t="s">
        <v>107</v>
      </c>
      <c r="E1" s="74"/>
      <c r="F1" s="92" t="s">
        <v>141</v>
      </c>
      <c r="G1" s="96"/>
      <c r="I1" s="148"/>
      <c r="J1" s="148"/>
      <c r="K1" s="148"/>
      <c r="L1" s="148"/>
    </row>
    <row r="2" spans="1:12" ht="15" customHeight="1">
      <c r="A2" s="79"/>
      <c r="I2" s="148"/>
      <c r="J2" s="148"/>
      <c r="K2" s="148"/>
      <c r="L2" s="148"/>
    </row>
    <row r="3" spans="1:9" ht="12.75">
      <c r="A3" s="23"/>
      <c r="C3" s="69" t="s">
        <v>68</v>
      </c>
      <c r="D3" s="7"/>
      <c r="F3" s="69" t="s">
        <v>69</v>
      </c>
      <c r="G3" s="7"/>
      <c r="I3" s="65" t="s">
        <v>72</v>
      </c>
    </row>
    <row r="4" spans="1:7" ht="12.75">
      <c r="A4" s="23" t="s">
        <v>70</v>
      </c>
      <c r="C4" s="20">
        <v>0</v>
      </c>
      <c r="D4" s="31" t="s">
        <v>48</v>
      </c>
      <c r="F4" s="75">
        <v>536</v>
      </c>
      <c r="G4" s="24" t="s">
        <v>48</v>
      </c>
    </row>
    <row r="5" spans="1:11" ht="12.75">
      <c r="A5" s="23" t="s">
        <v>71</v>
      </c>
      <c r="C5" s="75">
        <v>3500</v>
      </c>
      <c r="D5" s="31" t="s">
        <v>48</v>
      </c>
      <c r="F5" s="20">
        <f>C5</f>
        <v>3500</v>
      </c>
      <c r="G5" s="24" t="s">
        <v>48</v>
      </c>
      <c r="J5" s="57" t="s">
        <v>68</v>
      </c>
      <c r="K5" s="57" t="s">
        <v>69</v>
      </c>
    </row>
    <row r="6" spans="1:11" ht="12.75">
      <c r="A6" s="34" t="s">
        <v>47</v>
      </c>
      <c r="B6" s="34"/>
      <c r="C6" s="43">
        <f>C5</f>
        <v>3500</v>
      </c>
      <c r="D6" s="6" t="s">
        <v>48</v>
      </c>
      <c r="F6" s="20">
        <f>F5-F4</f>
        <v>2964</v>
      </c>
      <c r="G6" s="6" t="s">
        <v>48</v>
      </c>
      <c r="I6" s="55" t="s">
        <v>73</v>
      </c>
      <c r="J6" s="59">
        <f>C25</f>
        <v>325.5</v>
      </c>
      <c r="K6" s="59">
        <f>F25</f>
        <v>300.58</v>
      </c>
    </row>
    <row r="7" spans="1:11" ht="12.75">
      <c r="A7" s="34" t="s">
        <v>106</v>
      </c>
      <c r="B7" s="34"/>
      <c r="C7" s="43">
        <f>C5</f>
        <v>3500</v>
      </c>
      <c r="D7" s="6" t="s">
        <v>48</v>
      </c>
      <c r="F7" s="20">
        <f>IF(F4&gt;268,F5-268,F5-F4)</f>
        <v>3232</v>
      </c>
      <c r="G7" s="6" t="s">
        <v>48</v>
      </c>
      <c r="I7" s="55" t="s">
        <v>74</v>
      </c>
      <c r="J7" s="59">
        <f>IF(C13&gt;20,0,ROUND(IF(C8=1,IF(C6&gt;Parameter!B17,Parameter!B17,C6),IF(C8=2,IF(C6&gt;Parameter!B17/12,Parameter!B17/12,C6)))*IF(C13=0,0,((C13+C14)/200)),2))</f>
        <v>273</v>
      </c>
      <c r="K7" s="59">
        <f>IF(C13&gt;20,0,ROUND(IF(C8=1,IF(F7&gt;Parameter!B17,Parameter!B17,F7),IF(C8=2,IF(F7&gt;Parameter!B17/12,Parameter!B17/12,F7)))*IF(C13=0,0,((C13+C14)/200)),2))</f>
        <v>252.1</v>
      </c>
    </row>
    <row r="8" spans="1:11" ht="12.75">
      <c r="A8" s="23" t="s">
        <v>88</v>
      </c>
      <c r="C8" s="44">
        <v>2</v>
      </c>
      <c r="D8" s="4"/>
      <c r="F8" s="23">
        <f aca="true" t="shared" si="0" ref="F8:F20">C8</f>
        <v>2</v>
      </c>
      <c r="G8" s="2"/>
      <c r="I8" s="55" t="s">
        <v>75</v>
      </c>
      <c r="J8" s="59">
        <f>IF(C13=0,0,IF(C8=1,IF(C6&gt;Parameter!B17,Parameter!B17,C6),IF(C8=2,IF(C6&gt;Parameter!B17/12,Parameter!B17/12,C6),0)))*(IF(C17=0,0.01525,0.01025))</f>
        <v>35.875</v>
      </c>
      <c r="K8" s="59">
        <f>IF(C13=0,0,IF(C8=1,IF(F7&gt;Parameter!B17,Parameter!B17,F7),IF(C8=2,IF(F7&gt;Parameter!B17/12,Parameter!B17/12,F7),0)))*(IF(C17=0,0.01525,0.01025))</f>
        <v>33.128</v>
      </c>
    </row>
    <row r="9" spans="1:11" ht="12.75">
      <c r="A9" s="23" t="s">
        <v>49</v>
      </c>
      <c r="C9" s="44">
        <v>1</v>
      </c>
      <c r="D9" s="32"/>
      <c r="F9" s="23">
        <f>C9</f>
        <v>1</v>
      </c>
      <c r="G9" s="3"/>
      <c r="I9" s="58" t="s">
        <v>76</v>
      </c>
      <c r="J9" s="60">
        <f>C28</f>
        <v>43.75</v>
      </c>
      <c r="K9" s="60">
        <f>F28</f>
        <v>40.4</v>
      </c>
    </row>
    <row r="10" spans="1:7" ht="12.75">
      <c r="A10" s="23" t="s">
        <v>50</v>
      </c>
      <c r="C10" s="44">
        <v>0</v>
      </c>
      <c r="D10" s="4"/>
      <c r="F10" s="23">
        <f t="shared" si="0"/>
        <v>0</v>
      </c>
      <c r="G10" s="2"/>
    </row>
    <row r="11" spans="1:11" ht="13.5" thickBot="1">
      <c r="A11" s="23" t="s">
        <v>51</v>
      </c>
      <c r="C11" s="44">
        <v>0</v>
      </c>
      <c r="D11" s="4"/>
      <c r="F11" s="23">
        <f t="shared" si="0"/>
        <v>0</v>
      </c>
      <c r="G11" s="2"/>
      <c r="I11" s="36" t="s">
        <v>57</v>
      </c>
      <c r="J11" s="61">
        <f>SUM(J6:J9)</f>
        <v>678.125</v>
      </c>
      <c r="K11" s="61">
        <f>SUM(K6:K9)</f>
        <v>626.208</v>
      </c>
    </row>
    <row r="12" spans="1:11" ht="12.75">
      <c r="A12" s="23" t="s">
        <v>52</v>
      </c>
      <c r="C12" s="44">
        <v>9</v>
      </c>
      <c r="D12" s="4" t="s">
        <v>53</v>
      </c>
      <c r="F12" s="23">
        <f>C12</f>
        <v>9</v>
      </c>
      <c r="G12" s="2" t="s">
        <v>53</v>
      </c>
      <c r="J12" s="59"/>
      <c r="K12" s="59"/>
    </row>
    <row r="13" spans="1:11" ht="12.75">
      <c r="A13" s="23" t="s">
        <v>140</v>
      </c>
      <c r="C13" s="45">
        <v>14.6</v>
      </c>
      <c r="D13" s="4" t="s">
        <v>87</v>
      </c>
      <c r="F13" s="45">
        <f t="shared" si="0"/>
        <v>14.6</v>
      </c>
      <c r="G13" s="2" t="s">
        <v>87</v>
      </c>
      <c r="J13" s="59"/>
      <c r="K13" s="59"/>
    </row>
    <row r="14" spans="1:11" ht="13.5" thickBot="1">
      <c r="A14" s="23" t="s">
        <v>103</v>
      </c>
      <c r="C14" s="45">
        <v>1</v>
      </c>
      <c r="D14" s="4" t="s">
        <v>53</v>
      </c>
      <c r="F14" s="45">
        <f t="shared" si="0"/>
        <v>1</v>
      </c>
      <c r="G14" s="2" t="s">
        <v>53</v>
      </c>
      <c r="I14" s="62" t="s">
        <v>77</v>
      </c>
      <c r="J14" s="63"/>
      <c r="K14" s="64">
        <f>J11-K11</f>
        <v>51.91700000000003</v>
      </c>
    </row>
    <row r="15" spans="1:7" ht="13.5" thickTop="1">
      <c r="A15" s="23" t="s">
        <v>102</v>
      </c>
      <c r="C15" s="44">
        <v>1</v>
      </c>
      <c r="D15" s="4"/>
      <c r="F15" s="23">
        <f t="shared" si="0"/>
        <v>1</v>
      </c>
      <c r="G15" s="2"/>
    </row>
    <row r="16" spans="1:7" ht="12.75">
      <c r="A16" s="23" t="s">
        <v>54</v>
      </c>
      <c r="C16" s="44">
        <v>1</v>
      </c>
      <c r="D16" s="4"/>
      <c r="F16" s="23">
        <f t="shared" si="0"/>
        <v>1</v>
      </c>
      <c r="G16" s="2"/>
    </row>
    <row r="17" spans="1:9" ht="12">
      <c r="A17" s="23" t="s">
        <v>55</v>
      </c>
      <c r="C17" s="44">
        <v>1</v>
      </c>
      <c r="D17" s="4"/>
      <c r="F17" s="23">
        <f t="shared" si="0"/>
        <v>1</v>
      </c>
      <c r="G17" s="2"/>
      <c r="I17" s="55" t="s">
        <v>79</v>
      </c>
    </row>
    <row r="18" spans="1:9" ht="12">
      <c r="A18" s="80"/>
      <c r="B18" s="41"/>
      <c r="C18" s="44"/>
      <c r="D18" s="4"/>
      <c r="F18" s="23"/>
      <c r="G18" s="2"/>
      <c r="I18" t="s">
        <v>78</v>
      </c>
    </row>
    <row r="19" spans="1:9" ht="12">
      <c r="A19" s="35" t="s">
        <v>59</v>
      </c>
      <c r="B19" s="35"/>
      <c r="C19" s="20">
        <v>0</v>
      </c>
      <c r="D19" s="4" t="s">
        <v>48</v>
      </c>
      <c r="F19" s="20">
        <f t="shared" si="0"/>
        <v>0</v>
      </c>
      <c r="G19" s="4" t="s">
        <v>48</v>
      </c>
      <c r="I19" s="55" t="s">
        <v>90</v>
      </c>
    </row>
    <row r="20" spans="1:9" ht="12" thickBot="1">
      <c r="A20" s="36" t="s">
        <v>56</v>
      </c>
      <c r="B20" s="35"/>
      <c r="C20" s="25">
        <v>0</v>
      </c>
      <c r="D20" s="5" t="s">
        <v>48</v>
      </c>
      <c r="F20" s="25">
        <f t="shared" si="0"/>
        <v>0</v>
      </c>
      <c r="G20" s="5" t="s">
        <v>48</v>
      </c>
      <c r="I20" s="55" t="s">
        <v>89</v>
      </c>
    </row>
    <row r="21" spans="1:9" ht="12">
      <c r="A21" s="37"/>
      <c r="B21" s="47"/>
      <c r="C21" s="28"/>
      <c r="D21" s="4"/>
      <c r="F21" s="23"/>
      <c r="G21" s="4"/>
      <c r="I21" s="55"/>
    </row>
    <row r="22" spans="1:9" ht="12" thickBot="1">
      <c r="A22" s="38" t="s">
        <v>34</v>
      </c>
      <c r="B22" s="42"/>
      <c r="C22" s="29">
        <f>Berechnung!B70/100</f>
        <v>542.08</v>
      </c>
      <c r="D22" s="4" t="s">
        <v>48</v>
      </c>
      <c r="F22" s="20">
        <f>Berechnung2!B70/100</f>
        <v>402.58</v>
      </c>
      <c r="G22" s="2" t="s">
        <v>48</v>
      </c>
      <c r="I22" s="56" t="s">
        <v>81</v>
      </c>
    </row>
    <row r="23" spans="1:11" ht="12">
      <c r="A23" s="38" t="s">
        <v>35</v>
      </c>
      <c r="B23" s="42"/>
      <c r="C23" s="29">
        <f>Berechnung!B86/100</f>
        <v>29.81</v>
      </c>
      <c r="D23" s="4" t="s">
        <v>48</v>
      </c>
      <c r="F23" s="20">
        <f>Berechnung2!B86/100</f>
        <v>22.14</v>
      </c>
      <c r="G23" s="2" t="s">
        <v>48</v>
      </c>
      <c r="I23" s="150">
        <f>IF(F4&gt;IF(C8=2,536,6432),"ACHTUNG: bAV darf max. 8% der RV-Bemessungsgrenze betragen d.h. höchstens 536 Euro/Monat","")</f>
      </c>
      <c r="J23" s="151"/>
      <c r="K23" s="152"/>
    </row>
    <row r="24" spans="1:11" ht="12">
      <c r="A24" s="39" t="s">
        <v>36</v>
      </c>
      <c r="B24" s="42"/>
      <c r="C24" s="30">
        <f>ROUNDDOWN(Berechnung!B91*C12/10000,2)</f>
        <v>48.78</v>
      </c>
      <c r="D24" s="7" t="s">
        <v>48</v>
      </c>
      <c r="F24" s="20">
        <f>ROUNDDOWN(Berechnung2!B91*F12/10000,2)</f>
        <v>36.23</v>
      </c>
      <c r="G24" s="7" t="s">
        <v>48</v>
      </c>
      <c r="I24" s="153"/>
      <c r="J24" s="154"/>
      <c r="K24" s="155"/>
    </row>
    <row r="25" spans="1:11" ht="12">
      <c r="A25" s="50" t="s">
        <v>105</v>
      </c>
      <c r="B25" s="48"/>
      <c r="C25" s="53">
        <f>IF(C10=0,ROUND(IF(C8=1,IF(C6&gt;IF(OR(C16=1,C17=1),Parameter!B16,Parameter!B15),IF(OR(C16=1,C17=1),Parameter!B16,Parameter!B15),C6),IF(C8=2,IF(C6&gt;IF(OR(C16=1,C17=1),Parameter!B16/12,Parameter!B15/12),IF(OR(C16=1,C17=1),Parameter!B16/12,Parameter!B15/12),C6)))*0.093,2),0)</f>
        <v>325.5</v>
      </c>
      <c r="D25" s="54" t="s">
        <v>48</v>
      </c>
      <c r="E25" s="33"/>
      <c r="F25" s="53">
        <f>IF(F10=0,ROUND(IF(F8=1,IF(F7&gt;IF(OR(F16=1,F17=1),Parameter!B16,Parameter!B15),IF(OR(F16=1,F17=1),Parameter!B16,Parameter!B15),F7),IF(F8=2,IF(F7&gt;IF(OR(F16=1,F17=1),Parameter!B16/12,Parameter!B15/12),IF(OR(F16=1,F17=1),Parameter!B16/12,Parameter!B15/12),F7)))*0.093,2),0)</f>
        <v>300.58</v>
      </c>
      <c r="G25" s="54" t="s">
        <v>48</v>
      </c>
      <c r="I25" s="153"/>
      <c r="J25" s="154"/>
      <c r="K25" s="155"/>
    </row>
    <row r="26" spans="1:11" ht="12" thickBot="1">
      <c r="A26" s="51" t="str">
        <f>IF(C13=0,"Privat Krankenversichert ohne Nachweis",IF(C14&gt;20,"Basisprämie KV, AG-Anteil abgezogen",C13/2+C14/2&amp;" % Krankenversicherungsbeitrag"))</f>
        <v>7,8 % Krankenversicherungsbeitrag</v>
      </c>
      <c r="B26" s="48"/>
      <c r="C26" s="72">
        <f>IF(C13&gt;20,C13,IF(C10=0,ROUND(IF(C8=1,IF(C6&gt;Parameter!B17,Parameter!B17,C6),IF(C8=2,IF(C6&gt;Parameter!B17/12,Parameter!B17/12,C6)))*IF(C13=0,0,((C13/200)+(C14/200))),2),0))</f>
        <v>273</v>
      </c>
      <c r="D26" s="52" t="s">
        <v>48</v>
      </c>
      <c r="E26" s="33"/>
      <c r="F26" s="72">
        <f>IF(F13&gt;20,F13,IF(F10=0,ROUND(IF(F8=1,IF(F7&gt;Parameter!B17,Parameter!B17,F7),IF(F8=2,IF(F7&gt;Parameter!B17/12,Parameter!B17/12,F7)))*IF(F13=0,0,((F13/200)+(F14/200))),2),0))</f>
        <v>252.1</v>
      </c>
      <c r="G26" s="52" t="s">
        <v>48</v>
      </c>
      <c r="I26" s="156"/>
      <c r="J26" s="157"/>
      <c r="K26" s="158"/>
    </row>
    <row r="27" spans="1:9" ht="12">
      <c r="A27" s="51" t="str">
        <f>IF(C17=1,2.025,1.525)+IF(C15=1,0.25,0)&amp;"% Pflegeversicherung"</f>
        <v>2,275% Pflegeversicherung</v>
      </c>
      <c r="B27" s="48"/>
      <c r="C27" s="73">
        <f>IF(C13=0,0,IF(C10=0,IF(C8=1,IF(C6&gt;Parameter!B17,Parameter!B17,C6),IF(C8=2,IF(C6&gt;Parameter!B17/12,Parameter!B17/12,C6))),0))*(IF(C17=0,0.01525,0.02025)+IF(AND(C15=1,C11=0),0.0025,0))</f>
        <v>79.625</v>
      </c>
      <c r="D27" s="52" t="s">
        <v>48</v>
      </c>
      <c r="E27" s="33"/>
      <c r="F27" s="73">
        <f>IF(F13=0,0,IF(F10=0,IF(F8=1,IF(F7&gt;Parameter!B17,Parameter!B17,F7),IF(F8=2,IF(F7&gt;Parameter!B17/12,Parameter!B17/12,F7))),0))*(IF(F17=0,0.01525,0.02025)+IF(AND(F15=1,F11=0),0.0025,0))</f>
        <v>73.52799999999999</v>
      </c>
      <c r="G27" s="52" t="s">
        <v>48</v>
      </c>
      <c r="I27" s="55"/>
    </row>
    <row r="28" spans="1:9" ht="12">
      <c r="A28" s="51" t="s">
        <v>108</v>
      </c>
      <c r="B28" s="48"/>
      <c r="C28" s="53">
        <f>IF(C10=0,ROUND(IF(C8=1,IF(C6&gt;IF(OR(C16=1,C17=1),Parameter!B16,Parameter!B15),IF(OR(C16=1,C17=1),Parameter!B16,Parameter!B15),C6),IF(C8=2,IF(C6&gt;IF(OR(C16=1,C17=1),5800,6500),IF(OR(C16=1,C17=1),5800,6500),C6)))*0.0125,2),0)</f>
        <v>43.75</v>
      </c>
      <c r="D28" s="52" t="s">
        <v>48</v>
      </c>
      <c r="E28" s="33"/>
      <c r="F28" s="53">
        <f>IF(F10=0,ROUND(IF(F8=1,IF(F7&gt;IF(OR(F16=1,F17=1),Parameter!B16,Parameter!B15),IF(OR(F16=1,F17=1),Parameter!B16,Parameter!B15),F7),IF(F8=2,IF(F7&gt;IF(OR(F16=1,F17=1),5800,6500),IF(OR(F16=1,F17=1),5800,6500),F7)))*0.0125,2),0)</f>
        <v>40.4</v>
      </c>
      <c r="G28" s="52" t="s">
        <v>48</v>
      </c>
      <c r="I28" s="55"/>
    </row>
    <row r="29" spans="1:9" ht="12">
      <c r="A29" s="23"/>
      <c r="C29" s="23"/>
      <c r="D29" s="4"/>
      <c r="E29" s="33"/>
      <c r="F29" s="20"/>
      <c r="G29" s="2"/>
      <c r="I29" s="55"/>
    </row>
    <row r="30" spans="1:9" ht="12">
      <c r="A30" s="26" t="s">
        <v>57</v>
      </c>
      <c r="C30" s="27">
        <f>SUM(C22:C29)</f>
        <v>1342.545</v>
      </c>
      <c r="D30" s="7" t="s">
        <v>48</v>
      </c>
      <c r="F30" s="27">
        <f>SUM(F22:F28)</f>
        <v>1127.558</v>
      </c>
      <c r="G30" s="7" t="s">
        <v>48</v>
      </c>
      <c r="I30" s="55"/>
    </row>
    <row r="31" spans="1:9" ht="12" thickBot="1">
      <c r="A31" s="40" t="s">
        <v>58</v>
      </c>
      <c r="B31" s="49"/>
      <c r="C31" s="46">
        <f>C6-C30</f>
        <v>2157.455</v>
      </c>
      <c r="D31" s="8" t="s">
        <v>48</v>
      </c>
      <c r="F31" s="67">
        <f>F6-F30</f>
        <v>1836.442</v>
      </c>
      <c r="G31" s="68" t="s">
        <v>48</v>
      </c>
      <c r="I31" s="55"/>
    </row>
    <row r="32" spans="9:11" ht="12" thickBot="1">
      <c r="I32" s="55"/>
      <c r="K32" s="93"/>
    </row>
    <row r="33" spans="1:7" ht="15" thickBot="1">
      <c r="A33" s="56" t="s">
        <v>80</v>
      </c>
      <c r="F33" s="70">
        <f>C31-F31</f>
        <v>321.0129999999999</v>
      </c>
      <c r="G33" s="71" t="s">
        <v>48</v>
      </c>
    </row>
    <row r="34" spans="1:7" ht="15">
      <c r="A34" s="56"/>
      <c r="F34" s="89"/>
      <c r="G34" s="90"/>
    </row>
    <row r="35" spans="1:8" ht="12">
      <c r="A35" s="81"/>
      <c r="C35" s="148"/>
      <c r="D35" s="149"/>
      <c r="E35" s="149"/>
      <c r="F35" s="149"/>
      <c r="G35" s="149"/>
      <c r="H35" s="149"/>
    </row>
    <row r="36" spans="1:8" ht="12">
      <c r="A36" s="81"/>
      <c r="C36" s="148"/>
      <c r="D36" s="149"/>
      <c r="E36" s="149"/>
      <c r="F36" s="149"/>
      <c r="G36" s="149"/>
      <c r="H36" s="149"/>
    </row>
    <row r="37" spans="1:8" ht="12">
      <c r="A37" s="82"/>
      <c r="C37" s="97"/>
      <c r="D37" s="83"/>
      <c r="E37" s="83"/>
      <c r="F37" s="83"/>
      <c r="G37" s="83"/>
      <c r="H37" s="83"/>
    </row>
    <row r="38" spans="1:8" ht="12">
      <c r="A38" s="82"/>
      <c r="C38" s="97"/>
      <c r="D38" s="83"/>
      <c r="E38" s="83"/>
      <c r="F38" s="83"/>
      <c r="G38" s="83"/>
      <c r="H38" s="83"/>
    </row>
    <row r="39" spans="1:8" ht="12">
      <c r="A39" s="82"/>
      <c r="C39" s="97"/>
      <c r="D39" s="83"/>
      <c r="E39" s="83"/>
      <c r="F39" s="83"/>
      <c r="G39" s="83"/>
      <c r="H39" s="83"/>
    </row>
    <row r="40" spans="1:12" ht="12">
      <c r="A40" s="82"/>
      <c r="C40" s="98"/>
      <c r="D40" s="83"/>
      <c r="E40" s="83"/>
      <c r="F40" s="83"/>
      <c r="G40" s="83"/>
      <c r="H40" s="83"/>
      <c r="I40" s="148"/>
      <c r="J40" s="148"/>
      <c r="K40" s="148"/>
      <c r="L40" s="148"/>
    </row>
    <row r="41" spans="1:12" ht="12">
      <c r="A41" s="81"/>
      <c r="B41"/>
      <c r="C41" s="97"/>
      <c r="D41" s="83"/>
      <c r="E41" s="83"/>
      <c r="F41" s="83"/>
      <c r="G41" s="83"/>
      <c r="H41" s="83"/>
      <c r="I41" s="148"/>
      <c r="J41" s="148"/>
      <c r="K41" s="148"/>
      <c r="L41" s="148"/>
    </row>
  </sheetData>
  <sheetProtection/>
  <mergeCells count="7">
    <mergeCell ref="I41:L41"/>
    <mergeCell ref="C36:H36"/>
    <mergeCell ref="C35:H35"/>
    <mergeCell ref="I1:L1"/>
    <mergeCell ref="I23:K26"/>
    <mergeCell ref="I2:L2"/>
    <mergeCell ref="I40:L40"/>
  </mergeCells>
  <dataValidations count="5">
    <dataValidation type="list" allowBlank="1" showInputMessage="1" showErrorMessage="1" sqref="C9">
      <formula1>"1,2,3,4,5,6"</formula1>
    </dataValidation>
    <dataValidation type="list" operator="notBetween" allowBlank="1" showInputMessage="1" showErrorMessage="1" sqref="C12">
      <formula1>"0,8,9"</formula1>
    </dataValidation>
    <dataValidation type="list" allowBlank="1" showInputMessage="1" showErrorMessage="1" sqref="B2 C10 C15:C17">
      <formula1>"0,1"</formula1>
    </dataValidation>
    <dataValidation type="list" allowBlank="1" showInputMessage="1" showErrorMessage="1" sqref="C8">
      <formula1>"1,2"</formula1>
    </dataValidation>
    <dataValidation type="list" allowBlank="1" showInputMessage="1" showErrorMessage="1" sqref="C11">
      <formula1>"0,0,5,1,1,5,2,2,5,3,3,5,4,4,5,5,5,5,6"</formula1>
    </dataValidation>
  </dataValidations>
  <printOptions/>
  <pageMargins left="0.787401575" right="0.787401575" top="0.984251969" bottom="0.984251969" header="0.4921259845" footer="0.492125984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12.00390625" style="1" customWidth="1"/>
    <col min="2" max="2" width="18.421875" style="1" customWidth="1"/>
    <col min="3" max="16384" width="11.421875" style="1" customWidth="1"/>
  </cols>
  <sheetData>
    <row r="1" spans="1:9" ht="12">
      <c r="A1" s="21" t="s">
        <v>109</v>
      </c>
      <c r="B1" s="21"/>
      <c r="D1" s="84"/>
      <c r="E1" s="83"/>
      <c r="F1" s="83"/>
      <c r="G1" s="83"/>
      <c r="H1" s="83"/>
      <c r="I1" s="83"/>
    </row>
    <row r="2" spans="1:9" ht="12">
      <c r="A2" s="1" t="s">
        <v>0</v>
      </c>
      <c r="B2" s="1">
        <f>Eingabe!C18</f>
        <v>0</v>
      </c>
      <c r="D2" s="35" t="s">
        <v>91</v>
      </c>
      <c r="I2" s="83"/>
    </row>
    <row r="3" spans="1:9" ht="12">
      <c r="A3" s="1" t="s">
        <v>4</v>
      </c>
      <c r="B3" s="1">
        <f>Eingabe!C11</f>
        <v>0</v>
      </c>
      <c r="D3" s="35" t="s">
        <v>92</v>
      </c>
      <c r="E3" s="83"/>
      <c r="F3" s="83"/>
      <c r="G3" s="83"/>
      <c r="H3" s="83"/>
      <c r="I3" s="83"/>
    </row>
    <row r="4" spans="1:9" ht="12">
      <c r="A4" s="1" t="s">
        <v>2</v>
      </c>
      <c r="B4" s="1">
        <f>Eingabe!C8</f>
        <v>2</v>
      </c>
      <c r="D4" s="85"/>
      <c r="E4" s="83"/>
      <c r="F4" s="83"/>
      <c r="G4" s="83"/>
      <c r="H4" s="83"/>
      <c r="I4" s="83"/>
    </row>
    <row r="5" spans="1:9" ht="12">
      <c r="A5" s="1" t="s">
        <v>1</v>
      </c>
      <c r="B5" s="1">
        <f>Eingabe!C10</f>
        <v>0</v>
      </c>
      <c r="D5" s="85"/>
      <c r="E5" s="83"/>
      <c r="F5" s="83"/>
      <c r="G5" s="83"/>
      <c r="H5" s="83"/>
      <c r="I5" s="83"/>
    </row>
    <row r="6" spans="1:9" ht="12">
      <c r="A6" s="1" t="s">
        <v>65</v>
      </c>
      <c r="B6" s="13">
        <f>ROUNDDOWN(IF(B4=1,Eingabe!C6*100,IF(B4=2,(Eingabe!C6*100)*12,IF(B4=3,((Eingabe!C6*100)*360)/7,(Eingabe!C6*100)*360))),2)</f>
        <v>4200000</v>
      </c>
      <c r="D6" s="85"/>
      <c r="E6" s="83"/>
      <c r="F6" s="83"/>
      <c r="G6" s="83"/>
      <c r="H6" s="83"/>
      <c r="I6" s="83"/>
    </row>
    <row r="7" spans="1:9" ht="12">
      <c r="A7" s="1" t="s">
        <v>3</v>
      </c>
      <c r="B7" s="14">
        <f>Eingabe!C9</f>
        <v>1</v>
      </c>
      <c r="D7" s="85"/>
      <c r="E7" s="83"/>
      <c r="F7" s="83"/>
      <c r="G7" s="83"/>
      <c r="H7" s="83"/>
      <c r="I7" s="83"/>
    </row>
    <row r="8" spans="1:9" ht="12">
      <c r="A8" s="1" t="s">
        <v>67</v>
      </c>
      <c r="B8" s="15">
        <f>Eingabe!C20*100</f>
        <v>0</v>
      </c>
      <c r="C8" s="1" t="s">
        <v>41</v>
      </c>
      <c r="D8" s="85"/>
      <c r="E8" s="83"/>
      <c r="F8" s="83"/>
      <c r="G8" s="83"/>
      <c r="H8" s="83"/>
      <c r="I8" s="83"/>
    </row>
    <row r="9" spans="1:9" ht="12">
      <c r="A9" s="1" t="s">
        <v>66</v>
      </c>
      <c r="B9" s="16">
        <f>IF(B7=6,0,Eingabe!C19*100)</f>
        <v>0</v>
      </c>
      <c r="D9" s="85"/>
      <c r="E9" s="83"/>
      <c r="F9" s="83"/>
      <c r="G9" s="83"/>
      <c r="H9" s="83"/>
      <c r="I9" s="83"/>
    </row>
    <row r="10" spans="1:9" ht="12">
      <c r="A10" s="1" t="s">
        <v>82</v>
      </c>
      <c r="B10" s="22">
        <f>IF(Eingabe!C16=0,Parameter!B15,Parameter!B16)</f>
        <v>73800</v>
      </c>
      <c r="D10" s="1" t="s">
        <v>93</v>
      </c>
      <c r="E10" s="83"/>
      <c r="F10" s="83"/>
      <c r="G10" s="83"/>
      <c r="H10" s="83"/>
      <c r="I10" s="83"/>
    </row>
    <row r="11" spans="1:9" ht="12">
      <c r="A11" s="1" t="s">
        <v>83</v>
      </c>
      <c r="B11" s="76">
        <f>IF(Eingabe!C10&gt;20,ROUNDDOWN(IF(B4=1,Eingabe!C10*100,IF(B4=2,(Eingabe!C10*100)*12,IF(B4=3,((Eingabe!C10*100)*360)/7,(Eingabe!C10*100)*360)))/100,2),0)</f>
        <v>0</v>
      </c>
      <c r="D11" s="85"/>
      <c r="E11" s="83"/>
      <c r="F11" s="83"/>
      <c r="G11" s="83"/>
      <c r="H11" s="83"/>
      <c r="I11" s="83"/>
    </row>
    <row r="12" spans="1:9" ht="12">
      <c r="A12" s="1" t="s">
        <v>84</v>
      </c>
      <c r="B12" s="77">
        <f>IF(AND(Eingabe!C15=1,Eingabe!C17=1),Parameter!B8+Parameter!B9,IF(Eingabe!C17=1,Parameter!B8,IF(AND(Eingabe!C11=0,Eingabe!C15=1),Parameter!B7/2+Parameter!B9,Parameter!B7/2)))</f>
        <v>0.02275</v>
      </c>
      <c r="D12" s="85"/>
      <c r="E12" s="83"/>
      <c r="F12" s="83"/>
      <c r="G12" s="83"/>
      <c r="H12" s="83"/>
      <c r="I12" s="83"/>
    </row>
    <row r="13" spans="1:9" ht="12">
      <c r="A13" s="1" t="s">
        <v>94</v>
      </c>
      <c r="B13" s="19">
        <f>IF(OR(OR(Eingabe!C5=0,Eingabe!C5&gt;1),Eingabe!C4&lt;&gt;4),1,Eingabe!C5)</f>
        <v>1</v>
      </c>
      <c r="D13" s="85"/>
      <c r="E13" s="83"/>
      <c r="F13" s="83"/>
      <c r="G13" s="83"/>
      <c r="H13" s="83"/>
      <c r="I13" s="83"/>
    </row>
    <row r="14" spans="1:9" ht="12">
      <c r="A14" s="9" t="s">
        <v>64</v>
      </c>
      <c r="B14" s="10"/>
      <c r="D14" s="85"/>
      <c r="E14" s="83"/>
      <c r="F14" s="83"/>
      <c r="G14" s="83"/>
      <c r="H14" s="83"/>
      <c r="I14" s="83"/>
    </row>
    <row r="15" spans="1:9" ht="12">
      <c r="A15" s="17" t="s">
        <v>95</v>
      </c>
      <c r="B15" s="95">
        <f>IF(B2=1,0.4,IF(B2=2,0.384,IF(B2=3,0.368,IF(B2=4,0.352,IF(B2=5,0.336,IF(B2=6,0.32,IF(B2=7,0.304,IF(B2=8,0.288,0))))))))+IF(B2=9,0.272,IF(B2=10,0.256,IF(B2=11,0.24,IF(B2=12,0.224,IF(B2=13,0.208,IF(B2=14,0.192,IF(B2=15,0.176,0)))))))</f>
        <v>0</v>
      </c>
      <c r="D15" s="85"/>
      <c r="E15" s="83"/>
      <c r="F15" s="83"/>
      <c r="G15" s="83"/>
      <c r="H15" s="83"/>
      <c r="I15" s="83"/>
    </row>
    <row r="16" spans="1:9" ht="12">
      <c r="A16" s="1" t="s">
        <v>96</v>
      </c>
      <c r="B16" s="1">
        <f>IF(B2=1,190000,IF(B2=2,182400,IF(B2=3,174800,IF(B2=4,167200,IF(B2=5,159600,IF(B2=6,152000,IF(B2=7,144400,IF(B2=8,136800,0))))))))+IF(B2=9,129200,IF(B2=10,121600,IF(B2=11,114000,IF(B2=12,106400,IF(B2=13,98800,IF(B2=14,91200,IF(B2=15,83600,0)))))))</f>
        <v>0</v>
      </c>
      <c r="D16" s="85"/>
      <c r="E16" s="83"/>
      <c r="F16" s="83"/>
      <c r="G16" s="83"/>
      <c r="H16" s="83"/>
      <c r="I16" s="83"/>
    </row>
    <row r="17" spans="1:9" ht="12">
      <c r="A17" s="1" t="s">
        <v>97</v>
      </c>
      <c r="B17" s="16">
        <f>B16</f>
        <v>0</v>
      </c>
      <c r="D17" s="85"/>
      <c r="E17" s="83"/>
      <c r="F17" s="83"/>
      <c r="G17" s="83"/>
      <c r="H17" s="83"/>
      <c r="I17" s="83"/>
    </row>
    <row r="18" spans="1:9" ht="12">
      <c r="A18" s="1" t="s">
        <v>6</v>
      </c>
      <c r="B18" s="1">
        <f>IF(B2=0,0,IF((B6*B15)&gt;B17,B17,B6*B15))</f>
        <v>0</v>
      </c>
      <c r="D18" s="85"/>
      <c r="E18" s="83"/>
      <c r="F18" s="83"/>
      <c r="G18" s="83"/>
      <c r="H18" s="83"/>
      <c r="I18" s="83"/>
    </row>
    <row r="19" spans="1:9" ht="12">
      <c r="A19" s="1" t="s">
        <v>8</v>
      </c>
      <c r="B19" s="22">
        <f>B6-B8+B9-B18</f>
        <v>4200000</v>
      </c>
      <c r="D19" s="91"/>
      <c r="E19" s="83"/>
      <c r="F19" s="83"/>
      <c r="G19" s="83"/>
      <c r="H19" s="83"/>
      <c r="I19" s="83"/>
    </row>
    <row r="20" spans="1:9" ht="12">
      <c r="A20" s="1" t="s">
        <v>33</v>
      </c>
      <c r="B20" s="22">
        <f>B6</f>
        <v>4200000</v>
      </c>
      <c r="D20" s="85"/>
      <c r="E20" s="83"/>
      <c r="F20" s="83"/>
      <c r="G20" s="83"/>
      <c r="H20" s="83"/>
      <c r="I20" s="83"/>
    </row>
    <row r="21" spans="4:9" ht="12">
      <c r="D21" s="85"/>
      <c r="E21" s="83"/>
      <c r="F21" s="83"/>
      <c r="G21" s="83"/>
      <c r="H21" s="83"/>
      <c r="I21" s="83"/>
    </row>
    <row r="22" spans="1:9" ht="12">
      <c r="A22" s="9" t="s">
        <v>7</v>
      </c>
      <c r="B22" s="10"/>
      <c r="D22" s="85"/>
      <c r="E22" s="83"/>
      <c r="F22" s="83"/>
      <c r="G22" s="83"/>
      <c r="H22" s="83"/>
      <c r="I22" s="83"/>
    </row>
    <row r="23" spans="1:9" ht="12">
      <c r="A23" s="1" t="s">
        <v>8</v>
      </c>
      <c r="B23" s="19">
        <f>B19/100</f>
        <v>42000</v>
      </c>
      <c r="D23" s="85"/>
      <c r="E23" s="83"/>
      <c r="F23" s="83"/>
      <c r="G23" s="83"/>
      <c r="H23" s="83"/>
      <c r="I23" s="83"/>
    </row>
    <row r="24" spans="1:9" ht="12">
      <c r="A24" s="1" t="s">
        <v>33</v>
      </c>
      <c r="B24" s="19">
        <f>B20/100</f>
        <v>42000</v>
      </c>
      <c r="D24" s="85"/>
      <c r="E24" s="83"/>
      <c r="F24" s="83"/>
      <c r="G24" s="83"/>
      <c r="H24" s="83"/>
      <c r="I24" s="83"/>
    </row>
    <row r="25" spans="2:9" ht="12">
      <c r="B25" s="19"/>
      <c r="D25" s="85"/>
      <c r="E25" s="83"/>
      <c r="F25" s="83"/>
      <c r="G25" s="83"/>
      <c r="H25" s="83"/>
      <c r="I25" s="83"/>
    </row>
    <row r="26" spans="1:9" ht="12">
      <c r="A26" s="9" t="s">
        <v>9</v>
      </c>
      <c r="B26" s="10"/>
      <c r="D26" s="85"/>
      <c r="E26" s="83"/>
      <c r="F26" s="83"/>
      <c r="G26" s="83"/>
      <c r="H26" s="83"/>
      <c r="I26" s="83"/>
    </row>
    <row r="27" spans="1:9" ht="12">
      <c r="A27" s="1" t="s">
        <v>10</v>
      </c>
      <c r="B27" s="1">
        <f>IF(B7=3,2,1)</f>
        <v>1</v>
      </c>
      <c r="D27" s="85"/>
      <c r="E27" s="83"/>
      <c r="F27" s="83"/>
      <c r="G27" s="83"/>
      <c r="H27" s="83"/>
      <c r="I27" s="83"/>
    </row>
    <row r="28" spans="1:2" ht="12">
      <c r="A28" s="1" t="s">
        <v>11</v>
      </c>
      <c r="B28" s="146">
        <f>Parameter!B25</f>
        <v>1000</v>
      </c>
    </row>
    <row r="29" spans="1:2" ht="12">
      <c r="A29" s="1" t="s">
        <v>39</v>
      </c>
      <c r="B29" s="1">
        <f>IF(B7=2,Parameter!B26,0)</f>
        <v>0</v>
      </c>
    </row>
    <row r="30" spans="1:2" ht="12">
      <c r="A30" s="1" t="s">
        <v>12</v>
      </c>
      <c r="B30" s="1">
        <f>IF(B7&gt;5,0,Parameter!B27)</f>
        <v>36</v>
      </c>
    </row>
    <row r="31" spans="1:2" ht="12">
      <c r="A31" s="1" t="s">
        <v>13</v>
      </c>
      <c r="B31" s="1">
        <f>IF(B7&lt;4,B3*Parameter!B28,IF(B7=4,B3*Parameter!B28/2,0))</f>
        <v>0</v>
      </c>
    </row>
    <row r="32" spans="1:3" ht="12">
      <c r="A32" s="1" t="s">
        <v>14</v>
      </c>
      <c r="B32" s="1">
        <f>IF(B7=6,0,B28+B29+B30)</f>
        <v>1036</v>
      </c>
      <c r="C32" s="18"/>
    </row>
    <row r="34" spans="1:2" ht="12">
      <c r="A34" s="9" t="s">
        <v>42</v>
      </c>
      <c r="B34" s="11"/>
    </row>
    <row r="35" spans="1:2" ht="12">
      <c r="A35" s="1" t="s">
        <v>33</v>
      </c>
      <c r="B35" s="19">
        <f>MIN(B10,B24)</f>
        <v>42000</v>
      </c>
    </row>
    <row r="36" spans="1:2" ht="12">
      <c r="A36" s="1" t="s">
        <v>43</v>
      </c>
      <c r="B36" s="19">
        <f>IF(B5=1,0,ROUNDDOWN(Parameter!B19*B35*Parameter!C5,2))</f>
        <v>2968.56</v>
      </c>
    </row>
    <row r="37" spans="1:2" ht="12">
      <c r="A37" s="17" t="s">
        <v>45</v>
      </c>
      <c r="B37" s="19">
        <f>IF(B27=1,Parameter!B29,Parameter!B30)</f>
        <v>1900</v>
      </c>
    </row>
    <row r="38" spans="1:2" ht="12">
      <c r="A38" s="17" t="s">
        <v>44</v>
      </c>
      <c r="B38" s="19">
        <f>MIN(B37,ROUNDDOWN(0.12*B35,2))</f>
        <v>1900</v>
      </c>
    </row>
    <row r="39" spans="1:4" ht="12">
      <c r="A39" s="147" t="s">
        <v>139</v>
      </c>
      <c r="B39" s="78">
        <f>IF(Eingabe!C13=0,0,Parameter!C4+B12)</f>
        <v>0.09775</v>
      </c>
      <c r="C39" s="86"/>
      <c r="D39" s="35"/>
    </row>
    <row r="40" spans="1:4" ht="12">
      <c r="A40" s="17" t="s">
        <v>85</v>
      </c>
      <c r="B40" s="19">
        <f>IF(B11&gt;0,B11,ROUNDDOWN(MIN(B24,Parameter!B17)*B39*100,0)/100)</f>
        <v>4105.5</v>
      </c>
      <c r="C40" s="86"/>
      <c r="D40" s="87"/>
    </row>
    <row r="41" spans="1:4" ht="12">
      <c r="A41" s="17" t="s">
        <v>86</v>
      </c>
      <c r="B41" s="19">
        <f>IF(B40&gt;B38,B40,B38)</f>
        <v>4105.5</v>
      </c>
      <c r="C41" s="86"/>
      <c r="D41" s="88"/>
    </row>
    <row r="42" spans="1:4" ht="12">
      <c r="A42" s="17" t="s">
        <v>46</v>
      </c>
      <c r="B42" s="19">
        <f>ROUNDUP(B36+B41,0)</f>
        <v>7075</v>
      </c>
      <c r="C42" s="86"/>
      <c r="D42" s="35"/>
    </row>
    <row r="43" spans="1:2" ht="12">
      <c r="A43" s="17"/>
      <c r="B43" s="19"/>
    </row>
    <row r="44" spans="1:2" ht="12">
      <c r="A44" s="9" t="s">
        <v>26</v>
      </c>
      <c r="B44" s="10"/>
    </row>
    <row r="45" spans="1:2" ht="12">
      <c r="A45" s="1" t="s">
        <v>15</v>
      </c>
      <c r="B45" s="15">
        <f>ROUNDDOWN(B23-B32-B42,0)</f>
        <v>33889</v>
      </c>
    </row>
    <row r="46" spans="1:2" ht="12">
      <c r="A46" s="1" t="s">
        <v>21</v>
      </c>
      <c r="B46" s="15">
        <f>MAX(0,ROUNDDOWN(B45/B27,0))</f>
        <v>33889</v>
      </c>
    </row>
    <row r="48" spans="1:2" ht="12">
      <c r="A48" s="9" t="s">
        <v>110</v>
      </c>
      <c r="B48" s="10"/>
    </row>
    <row r="49" spans="1:2" ht="12">
      <c r="A49" s="1" t="s">
        <v>17</v>
      </c>
      <c r="B49" s="1">
        <f>IF(B46&lt;=Parameter!B23,0,IF(B46&lt;=Parameter!B34,INT((Parameter!B40*(B46-Parameter!B23)/10000+Parameter!B41)*(B46-Parameter!B23)/10000),IF(B46&lt;=Parameter!B35,INT((Parameter!B37*(B46-Parameter!B34)/10000+Parameter!B38)*(B46-Parameter!B34)/10000+Parameter!B39),IF(B46&lt;=Parameter!B36,INT(B46*Parameter!B31-Parameter!B42),INT(B46*Parameter!B32-Parameter!B43)))))*B27</f>
        <v>6505</v>
      </c>
    </row>
    <row r="50" ht="12">
      <c r="A50" s="12"/>
    </row>
    <row r="51" spans="1:2" ht="12">
      <c r="A51" s="9" t="s">
        <v>20</v>
      </c>
      <c r="B51" s="10"/>
    </row>
    <row r="52" ht="12">
      <c r="B52" s="15"/>
    </row>
    <row r="53" spans="1:2" ht="12">
      <c r="A53" s="1" t="s">
        <v>16</v>
      </c>
      <c r="B53" s="15">
        <f>MIN(Parameter!B21,B46)*1.25</f>
        <v>34975</v>
      </c>
    </row>
    <row r="54" spans="1:2" ht="12">
      <c r="A54" s="1" t="s">
        <v>22</v>
      </c>
      <c r="B54" s="1">
        <f>IF(B53&lt;=Parameter!B23,0,IF(B53&lt;=Parameter!B34,INT((Parameter!B40*(B53-Parameter!B23)/10000+Parameter!B41)*(B53-Parameter!B23)/10000),IF(B53&lt;=Parameter!B35,INT((Parameter!B37*(B53-Parameter!B34)/10000+Parameter!B38)*(B53-Parameter!B34)/10000+Parameter!B39),IF(B53&lt;=Parameter!B36,INT(B53*Parameter!B31-Parameter!B42),INT(B53*Parameter!B32-Parameter!B43)))))</f>
        <v>6860</v>
      </c>
    </row>
    <row r="55" spans="1:2" ht="12">
      <c r="A55" s="1" t="s">
        <v>16</v>
      </c>
      <c r="B55" s="15">
        <f>MIN(Parameter!B21,B46)*0.75</f>
        <v>20985</v>
      </c>
    </row>
    <row r="56" spans="1:2" ht="12">
      <c r="A56" s="1" t="s">
        <v>23</v>
      </c>
      <c r="B56" s="1">
        <f>IF(B55&lt;=Parameter!B23,0,IF(B55&lt;=Parameter!B34,INT((Parameter!B40*(B55-Parameter!B23)/10000+Parameter!B41)*(B55-Parameter!B23)/10000),IF(B55&lt;=Parameter!B35,INT((Parameter!B37*(B55-Parameter!B34)/10000+Parameter!B38)*(B55-Parameter!B34)/10000+Parameter!B39),IF(B55&lt;=Parameter!B36,INT(B55*Parameter!B31-Parameter!B42),INT(B55*Parameter!B32-Parameter!B43)))))</f>
        <v>2676</v>
      </c>
    </row>
    <row r="57" spans="1:2" ht="12">
      <c r="A57" s="1" t="s">
        <v>24</v>
      </c>
      <c r="B57" s="15">
        <f>(B54-B56)*2</f>
        <v>8368</v>
      </c>
    </row>
    <row r="58" spans="1:2" ht="12">
      <c r="A58" s="1" t="s">
        <v>25</v>
      </c>
      <c r="B58" s="1">
        <f>ROUNDDOWN(MIN(B46,Parameter!B21)*0.14,0)</f>
        <v>3917</v>
      </c>
    </row>
    <row r="59" spans="1:2" ht="12">
      <c r="A59" s="1" t="s">
        <v>17</v>
      </c>
      <c r="B59" s="15">
        <f>MAX(B57,B58)</f>
        <v>8368</v>
      </c>
    </row>
    <row r="60" spans="1:2" ht="12">
      <c r="A60" s="1" t="s">
        <v>17</v>
      </c>
      <c r="B60" s="15">
        <f>IF(B46&gt;Parameter!B22,(Parameter!B22-Parameter!B21)*Parameter!B31+B59,ROUNDDOWN(MAX(B46-Parameter!B21,0)*Parameter!B31+B59,0))</f>
        <v>10849</v>
      </c>
    </row>
    <row r="61" spans="1:4" ht="12">
      <c r="A61" s="1" t="s">
        <v>62</v>
      </c>
      <c r="B61" s="1">
        <f>IF(AND(B46&gt;Parameter!B20,B46&lt;=Parameter!B21),B59,0)</f>
        <v>0</v>
      </c>
      <c r="D61" s="15"/>
    </row>
    <row r="62" spans="1:4" ht="12">
      <c r="A62" s="1" t="s">
        <v>17</v>
      </c>
      <c r="B62" s="15">
        <f>ROUNDDOWN(Parameter!B20*0.14,0)</f>
        <v>1488</v>
      </c>
      <c r="D62" s="94"/>
    </row>
    <row r="63" spans="1:2" ht="12">
      <c r="A63" s="1" t="s">
        <v>17</v>
      </c>
      <c r="B63" s="15">
        <f>MIN(ROUNDDOWN(MAX(B46-Parameter!B20,0)*Parameter!B31+B62,0),B60)</f>
        <v>10849</v>
      </c>
    </row>
    <row r="64" spans="1:2" ht="12">
      <c r="A64" s="1" t="s">
        <v>63</v>
      </c>
      <c r="B64" s="15">
        <f>ROUNDDOWN(MAX(B46-Parameter!B22,0)*Parameter!B32+B63,0)</f>
        <v>10849</v>
      </c>
    </row>
    <row r="65" spans="1:4" ht="12">
      <c r="A65" s="1" t="s">
        <v>18</v>
      </c>
      <c r="B65" s="1">
        <f>ROUNDDOWN(IF(B7&lt;5,B49,B64)*B13,0)</f>
        <v>6505</v>
      </c>
      <c r="D65" s="1" t="s">
        <v>98</v>
      </c>
    </row>
    <row r="66" spans="1:4" ht="12">
      <c r="A66" s="1" t="s">
        <v>5</v>
      </c>
      <c r="B66" s="1">
        <f>B65*100</f>
        <v>650500</v>
      </c>
      <c r="D66" s="1" t="s">
        <v>99</v>
      </c>
    </row>
    <row r="67" ht="12">
      <c r="D67" s="1" t="s">
        <v>100</v>
      </c>
    </row>
    <row r="68" spans="1:2" ht="12">
      <c r="A68" s="9" t="s">
        <v>61</v>
      </c>
      <c r="B68" s="10"/>
    </row>
    <row r="70" spans="1:2" ht="12">
      <c r="A70" s="1" t="s">
        <v>37</v>
      </c>
      <c r="B70" s="1">
        <f>IF(B4=1,B66,IF(B4=2,ROUNDDOWN(B66/12,0),IF(B4=3,ROUNDDOWN((B66*7)/360,0),ROUNDDOWN(B66/360,0))))</f>
        <v>54208</v>
      </c>
    </row>
    <row r="71" spans="1:2" ht="12">
      <c r="A71" s="1" t="s">
        <v>14</v>
      </c>
      <c r="B71" s="1">
        <f>B31+B32</f>
        <v>1036</v>
      </c>
    </row>
    <row r="72" spans="1:2" ht="12">
      <c r="A72" s="1" t="s">
        <v>15</v>
      </c>
      <c r="B72" s="15">
        <f>B23-B42-B71</f>
        <v>33889</v>
      </c>
    </row>
    <row r="73" spans="1:2" ht="12">
      <c r="A73" s="1" t="s">
        <v>40</v>
      </c>
      <c r="B73" s="1">
        <f>IF(B72&lt;36,0,ROUNDDOWN(B72/B27,0))</f>
        <v>33889</v>
      </c>
    </row>
    <row r="74" spans="1:4" ht="12">
      <c r="A74" s="1" t="s">
        <v>17</v>
      </c>
      <c r="B74" s="1">
        <f>IF(B73&lt;=Parameter!B23,0,IF(B73&lt;=Parameter!B34,INT((Parameter!B40*(B73-Parameter!B23)/10000+Parameter!B41)*(B73-Parameter!B23)/10000),IF(B73&lt;=Parameter!B35,INT((Parameter!B37*(B73-Parameter!B34)/10000+Parameter!B38)*(B73-Parameter!B34)/10000+Parameter!B39),IF(B73&lt;=Parameter!B36,INT(B73*Parameter!B31-Parameter!B42),INT(B73*Parameter!B32-Parameter!B43)))))*B27</f>
        <v>6505</v>
      </c>
      <c r="D74" s="1" t="s">
        <v>98</v>
      </c>
    </row>
    <row r="75" spans="1:4" ht="12">
      <c r="A75" s="1" t="s">
        <v>27</v>
      </c>
      <c r="B75" s="1">
        <f>IF(B3&gt;0,ROUNDDOWN(B74*B13,0),B65)</f>
        <v>6505</v>
      </c>
      <c r="D75" s="1" t="s">
        <v>101</v>
      </c>
    </row>
    <row r="77" spans="1:2" ht="12">
      <c r="A77" s="9" t="s">
        <v>28</v>
      </c>
      <c r="B77" s="10"/>
    </row>
    <row r="78" spans="1:2" ht="12">
      <c r="A78" s="1" t="s">
        <v>29</v>
      </c>
      <c r="B78" s="1">
        <f>Parameter!B24*B27</f>
        <v>972</v>
      </c>
    </row>
    <row r="79" spans="1:2" ht="12">
      <c r="A79" s="1" t="s">
        <v>30</v>
      </c>
      <c r="B79" s="19">
        <f>ROUNDDOWN((B75*Parameter!B33)/100,2)</f>
        <v>357.77</v>
      </c>
    </row>
    <row r="80" spans="1:2" ht="12">
      <c r="A80" s="1" t="s">
        <v>31</v>
      </c>
      <c r="B80" s="19">
        <f>((B75-B78)*20)/100</f>
        <v>1106.6</v>
      </c>
    </row>
    <row r="81" spans="1:5" ht="12">
      <c r="A81" s="1" t="s">
        <v>30</v>
      </c>
      <c r="B81" s="19">
        <f>MIN(B80,B79)</f>
        <v>357.77</v>
      </c>
      <c r="E81" s="19"/>
    </row>
    <row r="82" spans="1:2" ht="12">
      <c r="A82" s="1" t="s">
        <v>5</v>
      </c>
      <c r="B82" s="1">
        <f>B81*100</f>
        <v>35777</v>
      </c>
    </row>
    <row r="84" spans="1:2" ht="12">
      <c r="A84" s="9" t="s">
        <v>60</v>
      </c>
      <c r="B84" s="10"/>
    </row>
    <row r="85" spans="1:2" ht="12">
      <c r="A85" s="1" t="s">
        <v>19</v>
      </c>
      <c r="B85" s="1">
        <f>ROUNDDOWN(IF(B4=1,B82,IF(B4=2,B82/12,IF(B4=3,(B82*7)/360,B82/360))),0)</f>
        <v>2981</v>
      </c>
    </row>
    <row r="86" spans="1:2" ht="12">
      <c r="A86" s="1" t="s">
        <v>38</v>
      </c>
      <c r="B86" s="1">
        <f>IF(B75&gt;B78,B85,0)</f>
        <v>2981</v>
      </c>
    </row>
    <row r="87" spans="1:2" ht="12">
      <c r="A87" s="1" t="s">
        <v>5</v>
      </c>
      <c r="B87" s="1">
        <f>B75*100</f>
        <v>650500</v>
      </c>
    </row>
    <row r="89" spans="1:2" ht="12">
      <c r="A89" s="9" t="s">
        <v>32</v>
      </c>
      <c r="B89" s="10"/>
    </row>
    <row r="90" spans="1:2" ht="12">
      <c r="A90" s="1" t="s">
        <v>19</v>
      </c>
      <c r="B90" s="1">
        <f>ROUNDDOWN(IF(B4=1,B87,IF(B4=2,B87/12,IF(B4=3,(B87*7)/360,B87/360))),0)</f>
        <v>54208</v>
      </c>
    </row>
    <row r="91" spans="1:2" ht="12">
      <c r="A91" s="1" t="s">
        <v>32</v>
      </c>
      <c r="B91" s="1">
        <f>B90</f>
        <v>54208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64">
      <selection activeCell="B11" sqref="B11"/>
    </sheetView>
  </sheetViews>
  <sheetFormatPr defaultColWidth="11.421875" defaultRowHeight="12.75"/>
  <cols>
    <col min="1" max="1" width="12.00390625" style="1" customWidth="1"/>
    <col min="2" max="2" width="14.00390625" style="1" customWidth="1"/>
    <col min="3" max="16384" width="11.421875" style="1" customWidth="1"/>
  </cols>
  <sheetData>
    <row r="1" spans="1:9" ht="12">
      <c r="A1" s="21" t="s">
        <v>109</v>
      </c>
      <c r="B1" s="21"/>
      <c r="D1" s="84"/>
      <c r="E1" s="83"/>
      <c r="F1" s="83"/>
      <c r="G1" s="83"/>
      <c r="H1" s="83"/>
      <c r="I1" s="83"/>
    </row>
    <row r="2" spans="1:9" ht="12">
      <c r="A2" s="1" t="s">
        <v>0</v>
      </c>
      <c r="B2" s="1">
        <f>Eingabe!F18</f>
        <v>0</v>
      </c>
      <c r="D2" s="35" t="s">
        <v>91</v>
      </c>
      <c r="I2" s="83"/>
    </row>
    <row r="3" spans="1:9" ht="12">
      <c r="A3" s="1" t="s">
        <v>4</v>
      </c>
      <c r="B3" s="1">
        <f>Eingabe!F11</f>
        <v>0</v>
      </c>
      <c r="D3" s="35" t="s">
        <v>92</v>
      </c>
      <c r="E3" s="83"/>
      <c r="F3" s="83"/>
      <c r="G3" s="83"/>
      <c r="H3" s="83"/>
      <c r="I3" s="83"/>
    </row>
    <row r="4" spans="1:9" ht="12">
      <c r="A4" s="1" t="s">
        <v>2</v>
      </c>
      <c r="B4" s="1">
        <f>Eingabe!F8</f>
        <v>2</v>
      </c>
      <c r="D4" s="85"/>
      <c r="E4" s="83"/>
      <c r="F4" s="83"/>
      <c r="G4" s="83"/>
      <c r="H4" s="83"/>
      <c r="I4" s="83"/>
    </row>
    <row r="5" spans="1:9" ht="12">
      <c r="A5" s="1" t="s">
        <v>1</v>
      </c>
      <c r="B5" s="1">
        <f>Eingabe!F10</f>
        <v>0</v>
      </c>
      <c r="D5" s="85"/>
      <c r="E5" s="83"/>
      <c r="F5" s="83"/>
      <c r="G5" s="83"/>
      <c r="H5" s="83"/>
      <c r="I5" s="83"/>
    </row>
    <row r="6" spans="1:9" ht="12">
      <c r="A6" s="1" t="s">
        <v>65</v>
      </c>
      <c r="B6" s="13">
        <f>ROUNDDOWN(IF(B4=1,Eingabe!F6*100,IF(B4=2,(Eingabe!F6*100)*12,IF(B4=3,((Eingabe!F6*100)*360)/7,(Eingabe!F6*100)*360))),2)</f>
        <v>3556800</v>
      </c>
      <c r="D6" s="85"/>
      <c r="E6" s="83"/>
      <c r="F6" s="83"/>
      <c r="G6" s="83"/>
      <c r="H6" s="83"/>
      <c r="I6" s="83"/>
    </row>
    <row r="7" spans="1:9" ht="12">
      <c r="A7" s="1" t="s">
        <v>3</v>
      </c>
      <c r="B7" s="14">
        <f>Eingabe!F9</f>
        <v>1</v>
      </c>
      <c r="D7" s="85"/>
      <c r="E7" s="83"/>
      <c r="F7" s="83"/>
      <c r="G7" s="83"/>
      <c r="H7" s="83"/>
      <c r="I7" s="83"/>
    </row>
    <row r="8" spans="1:9" ht="12">
      <c r="A8" s="1" t="s">
        <v>67</v>
      </c>
      <c r="B8" s="15">
        <f>Eingabe!F20*100</f>
        <v>0</v>
      </c>
      <c r="C8" s="1" t="s">
        <v>41</v>
      </c>
      <c r="D8" s="85"/>
      <c r="E8" s="83"/>
      <c r="F8" s="83"/>
      <c r="G8" s="83"/>
      <c r="H8" s="83"/>
      <c r="I8" s="83"/>
    </row>
    <row r="9" spans="1:9" ht="12">
      <c r="A9" s="1" t="s">
        <v>66</v>
      </c>
      <c r="B9" s="16">
        <f>IF(B7=6,0,Eingabe!F19*100)</f>
        <v>0</v>
      </c>
      <c r="D9" s="85"/>
      <c r="E9" s="83"/>
      <c r="F9" s="83"/>
      <c r="G9" s="83"/>
      <c r="H9" s="83"/>
      <c r="I9" s="83"/>
    </row>
    <row r="10" spans="1:9" ht="12">
      <c r="A10" s="1" t="s">
        <v>82</v>
      </c>
      <c r="B10" s="22">
        <f>IF(Eingabe!C16=0,Parameter!B15,Parameter!B16)</f>
        <v>73800</v>
      </c>
      <c r="D10" s="1" t="s">
        <v>93</v>
      </c>
      <c r="E10" s="83"/>
      <c r="F10" s="83"/>
      <c r="G10" s="83"/>
      <c r="H10" s="83"/>
      <c r="I10" s="83"/>
    </row>
    <row r="11" spans="1:9" ht="12">
      <c r="A11" s="1" t="s">
        <v>83</v>
      </c>
      <c r="B11" s="76">
        <f>IF(Eingabe!C10&gt;20,ROUNDDOWN(IF(B4=1,Eingabe!C10*100,IF(B4=2,(Eingabe!C10*100)*12,IF(B4=3,((Eingabe!C10*100)*360)/7,(Eingabe!C10*100)*360)))/100,2),0)</f>
        <v>0</v>
      </c>
      <c r="D11" s="85"/>
      <c r="E11" s="83"/>
      <c r="F11" s="83"/>
      <c r="G11" s="83"/>
      <c r="H11" s="83"/>
      <c r="I11" s="83"/>
    </row>
    <row r="12" spans="1:9" ht="12">
      <c r="A12" s="1" t="s">
        <v>84</v>
      </c>
      <c r="B12" s="77">
        <f>IF(AND(Eingabe!C15=1,Eingabe!C17=1),Parameter!B8+Parameter!B9,IF(Eingabe!C17=1,Parameter!B8,IF(AND(Eingabe!C11=0,Eingabe!C15=1),Parameter!B7/2+Parameter!B9,Parameter!B7/2)))</f>
        <v>0.02275</v>
      </c>
      <c r="D12" s="85"/>
      <c r="E12" s="83"/>
      <c r="F12" s="83"/>
      <c r="G12" s="83"/>
      <c r="H12" s="83"/>
      <c r="I12" s="83"/>
    </row>
    <row r="13" spans="1:9" ht="12">
      <c r="A13" s="1" t="s">
        <v>94</v>
      </c>
      <c r="B13" s="19">
        <f>IF(OR(OR(Eingabe!C5=0,Eingabe!C5&gt;1),Eingabe!C4&lt;&gt;4),1,Eingabe!C5)</f>
        <v>1</v>
      </c>
      <c r="D13" s="85"/>
      <c r="E13" s="83"/>
      <c r="F13" s="83"/>
      <c r="G13" s="83"/>
      <c r="H13" s="83"/>
      <c r="I13" s="83"/>
    </row>
    <row r="14" spans="1:9" ht="12">
      <c r="A14" s="9" t="s">
        <v>64</v>
      </c>
      <c r="B14" s="10"/>
      <c r="D14" s="85"/>
      <c r="E14" s="83"/>
      <c r="F14" s="83"/>
      <c r="G14" s="83"/>
      <c r="H14" s="83"/>
      <c r="I14" s="83"/>
    </row>
    <row r="15" spans="1:9" ht="12">
      <c r="A15" s="17" t="s">
        <v>95</v>
      </c>
      <c r="B15" s="95">
        <f>IF(B2=1,0.4,IF(B2=2,0.384,IF(B2=3,0.368,IF(B2=4,0.352,IF(B2=5,0.336,IF(B2=6,0.32,IF(B2=7,0.304,IF(B2=8,0.288,0))))))))+IF(B2=9,0.272,IF(B2=10,0.256,IF(B2=11,0.24,IF(B2=12,0.224,IF(B2=13,0.208,IF(B2=14,0.192,IF(B2=15,0.176,0)))))))</f>
        <v>0</v>
      </c>
      <c r="D15" s="85"/>
      <c r="E15" s="83"/>
      <c r="F15" s="83"/>
      <c r="G15" s="83"/>
      <c r="H15" s="83"/>
      <c r="I15" s="83"/>
    </row>
    <row r="16" spans="1:9" ht="12">
      <c r="A16" s="1" t="s">
        <v>96</v>
      </c>
      <c r="B16" s="1">
        <f>IF(B2=1,190000,IF(B2=2,182400,IF(B2=3,174800,IF(B2=4,167200,IF(B2=5,159600,IF(B2=6,152000,IF(B2=7,144400,IF(B2=8,136800,0))))))))+IF(B2=9,129200,IF(B2=10,121600,IF(B2=11,114000,IF(B2=12,106400,IF(B2=13,98800,IF(B2=14,91200,IF(B2=15,83600,0)))))))</f>
        <v>0</v>
      </c>
      <c r="D16" s="85"/>
      <c r="E16" s="83"/>
      <c r="F16" s="83"/>
      <c r="G16" s="83"/>
      <c r="H16" s="83"/>
      <c r="I16" s="83"/>
    </row>
    <row r="17" spans="1:9" ht="12">
      <c r="A17" s="1" t="s">
        <v>97</v>
      </c>
      <c r="B17" s="16">
        <f>B16</f>
        <v>0</v>
      </c>
      <c r="D17" s="85"/>
      <c r="E17" s="83"/>
      <c r="F17" s="83"/>
      <c r="G17" s="83"/>
      <c r="H17" s="83"/>
      <c r="I17" s="83"/>
    </row>
    <row r="18" spans="1:9" ht="12">
      <c r="A18" s="1" t="s">
        <v>6</v>
      </c>
      <c r="B18" s="1">
        <f>IF(B2=0,0,IF((B6*B15)&gt;B17,B17,B6*B15))</f>
        <v>0</v>
      </c>
      <c r="D18" s="85"/>
      <c r="E18" s="83"/>
      <c r="F18" s="83"/>
      <c r="G18" s="83"/>
      <c r="H18" s="83"/>
      <c r="I18" s="83"/>
    </row>
    <row r="19" spans="1:9" ht="12">
      <c r="A19" s="1" t="s">
        <v>8</v>
      </c>
      <c r="B19" s="22">
        <f>B6-B8+B9-B18</f>
        <v>3556800</v>
      </c>
      <c r="D19" s="85"/>
      <c r="E19" s="83"/>
      <c r="F19" s="83"/>
      <c r="G19" s="83"/>
      <c r="H19" s="83"/>
      <c r="I19" s="83"/>
    </row>
    <row r="20" spans="1:9" ht="12">
      <c r="A20" s="1" t="s">
        <v>33</v>
      </c>
      <c r="B20" s="22">
        <f>B6</f>
        <v>3556800</v>
      </c>
      <c r="D20" s="85"/>
      <c r="E20" s="83"/>
      <c r="F20" s="83"/>
      <c r="G20" s="83"/>
      <c r="H20" s="83"/>
      <c r="I20" s="83"/>
    </row>
    <row r="21" spans="4:9" ht="12">
      <c r="D21" s="85"/>
      <c r="E21" s="83"/>
      <c r="F21" s="83"/>
      <c r="G21" s="83"/>
      <c r="H21" s="83"/>
      <c r="I21" s="83"/>
    </row>
    <row r="22" spans="1:9" ht="12">
      <c r="A22" s="9" t="s">
        <v>7</v>
      </c>
      <c r="B22" s="10"/>
      <c r="D22" s="85"/>
      <c r="E22" s="83"/>
      <c r="F22" s="83"/>
      <c r="G22" s="83"/>
      <c r="H22" s="83"/>
      <c r="I22" s="83"/>
    </row>
    <row r="23" spans="1:9" ht="12">
      <c r="A23" s="1" t="s">
        <v>8</v>
      </c>
      <c r="B23" s="19">
        <f>B19/100</f>
        <v>35568</v>
      </c>
      <c r="D23" s="85"/>
      <c r="E23" s="83"/>
      <c r="F23" s="83"/>
      <c r="G23" s="83"/>
      <c r="H23" s="83"/>
      <c r="I23" s="83"/>
    </row>
    <row r="24" spans="1:9" ht="12">
      <c r="A24" s="1" t="s">
        <v>33</v>
      </c>
      <c r="B24" s="19">
        <f>B20/100</f>
        <v>35568</v>
      </c>
      <c r="D24" s="85"/>
      <c r="E24" s="83"/>
      <c r="F24" s="83"/>
      <c r="G24" s="83"/>
      <c r="H24" s="83"/>
      <c r="I24" s="83"/>
    </row>
    <row r="25" spans="2:9" ht="12">
      <c r="B25" s="19"/>
      <c r="D25" s="85"/>
      <c r="E25" s="83"/>
      <c r="F25" s="83"/>
      <c r="G25" s="83"/>
      <c r="H25" s="83"/>
      <c r="I25" s="83"/>
    </row>
    <row r="26" spans="1:9" ht="12">
      <c r="A26" s="9" t="s">
        <v>9</v>
      </c>
      <c r="B26" s="10"/>
      <c r="D26" s="85"/>
      <c r="E26" s="83"/>
      <c r="F26" s="83"/>
      <c r="G26" s="83"/>
      <c r="H26" s="83"/>
      <c r="I26" s="83"/>
    </row>
    <row r="27" spans="1:9" ht="12">
      <c r="A27" s="1" t="s">
        <v>10</v>
      </c>
      <c r="B27" s="1">
        <f>IF(B7=3,2,1)</f>
        <v>1</v>
      </c>
      <c r="D27" s="85"/>
      <c r="E27" s="83"/>
      <c r="F27" s="83"/>
      <c r="G27" s="83"/>
      <c r="H27" s="83"/>
      <c r="I27" s="83"/>
    </row>
    <row r="28" spans="1:2" ht="12">
      <c r="A28" s="1" t="s">
        <v>11</v>
      </c>
      <c r="B28" s="146">
        <f>Parameter!B25</f>
        <v>1000</v>
      </c>
    </row>
    <row r="29" spans="1:2" ht="12">
      <c r="A29" s="1" t="s">
        <v>39</v>
      </c>
      <c r="B29" s="1">
        <f>IF(B7=2,Parameter!B26,0)</f>
        <v>0</v>
      </c>
    </row>
    <row r="30" spans="1:2" ht="12">
      <c r="A30" s="1" t="s">
        <v>12</v>
      </c>
      <c r="B30" s="1">
        <f>IF(B7&gt;5,0,Parameter!B27)</f>
        <v>36</v>
      </c>
    </row>
    <row r="31" spans="1:2" ht="12">
      <c r="A31" s="1" t="s">
        <v>13</v>
      </c>
      <c r="B31" s="1">
        <f>IF(B7&lt;4,B3*Parameter!B28,IF(B7=4,B3*Parameter!B28/2,0))</f>
        <v>0</v>
      </c>
    </row>
    <row r="32" spans="1:3" ht="12">
      <c r="A32" s="1" t="s">
        <v>14</v>
      </c>
      <c r="B32" s="1">
        <f>IF(B7=6,0,B28+B29+B30)</f>
        <v>1036</v>
      </c>
      <c r="C32" s="18"/>
    </row>
    <row r="34" spans="1:2" ht="12">
      <c r="A34" s="9" t="s">
        <v>42</v>
      </c>
      <c r="B34" s="11"/>
    </row>
    <row r="35" spans="1:2" ht="12">
      <c r="A35" s="1" t="s">
        <v>33</v>
      </c>
      <c r="B35" s="19">
        <f>MIN(B10,B24)</f>
        <v>35568</v>
      </c>
    </row>
    <row r="36" spans="1:2" ht="12">
      <c r="A36" s="1" t="s">
        <v>43</v>
      </c>
      <c r="B36" s="19">
        <f>IF(B5=1,0,ROUNDDOWN(Parameter!B19*B35*Parameter!C5,2))</f>
        <v>2513.94</v>
      </c>
    </row>
    <row r="37" spans="1:2" ht="12">
      <c r="A37" s="17" t="s">
        <v>45</v>
      </c>
      <c r="B37" s="19">
        <f>IF(B27=1,Parameter!B29,Parameter!B30)</f>
        <v>1900</v>
      </c>
    </row>
    <row r="38" spans="1:2" ht="12">
      <c r="A38" s="17" t="s">
        <v>44</v>
      </c>
      <c r="B38" s="19">
        <f>MIN(B37,ROUNDDOWN(0.12*B35,2))</f>
        <v>1900</v>
      </c>
    </row>
    <row r="39" spans="1:4" ht="12">
      <c r="A39" s="147" t="s">
        <v>139</v>
      </c>
      <c r="B39" s="78">
        <f>IF(Eingabe!C13=0,0,Parameter!C4+B12)</f>
        <v>0.09775</v>
      </c>
      <c r="C39" s="86"/>
      <c r="D39" s="35"/>
    </row>
    <row r="40" spans="1:4" ht="12">
      <c r="A40" s="17" t="s">
        <v>85</v>
      </c>
      <c r="B40" s="19">
        <f>IF(B11&gt;0,B11,ROUNDDOWN(MIN(B24,Parameter!B17)*B39*100,0)/100)</f>
        <v>3476.77</v>
      </c>
      <c r="C40" s="86"/>
      <c r="D40" s="87"/>
    </row>
    <row r="41" spans="1:4" ht="12">
      <c r="A41" s="17" t="s">
        <v>86</v>
      </c>
      <c r="B41" s="19">
        <f>IF(B40&gt;B38,B40,B38)</f>
        <v>3476.77</v>
      </c>
      <c r="C41" s="86"/>
      <c r="D41" s="88"/>
    </row>
    <row r="42" spans="1:4" ht="12">
      <c r="A42" s="17" t="s">
        <v>46</v>
      </c>
      <c r="B42" s="19">
        <f>ROUNDUP(B36+B41,0)</f>
        <v>5991</v>
      </c>
      <c r="C42" s="86"/>
      <c r="D42" s="35"/>
    </row>
    <row r="43" spans="1:2" ht="12">
      <c r="A43" s="17"/>
      <c r="B43" s="19"/>
    </row>
    <row r="44" spans="1:2" ht="12">
      <c r="A44" s="9" t="s">
        <v>26</v>
      </c>
      <c r="B44" s="10"/>
    </row>
    <row r="45" spans="1:2" ht="12">
      <c r="A45" s="1" t="s">
        <v>15</v>
      </c>
      <c r="B45" s="15">
        <f>ROUNDDOWN(B23-B32-B42,0)</f>
        <v>28541</v>
      </c>
    </row>
    <row r="46" spans="1:2" ht="12">
      <c r="A46" s="1" t="s">
        <v>21</v>
      </c>
      <c r="B46" s="15">
        <f>MAX(0,ROUNDDOWN(B45/B27,0))</f>
        <v>28541</v>
      </c>
    </row>
    <row r="48" spans="1:2" ht="12">
      <c r="A48" s="9" t="s">
        <v>110</v>
      </c>
      <c r="B48" s="10"/>
    </row>
    <row r="49" spans="1:2" ht="12">
      <c r="A49" s="1" t="s">
        <v>17</v>
      </c>
      <c r="B49" s="1">
        <f>IF(B46&lt;=Parameter!B23,0,IF(B46&lt;=Parameter!B34,INT((Parameter!B40*(B46-Parameter!B23)/10000+Parameter!B41)*(B46-Parameter!B23)/10000),IF(B46&lt;=Parameter!B35,INT((Parameter!B37*(B46-Parameter!B34)/10000+Parameter!B38)*(B46-Parameter!B34)/10000+Parameter!B39),IF(B46&lt;=Parameter!B36,INT(B46*Parameter!B31-Parameter!B42),INT(B46*Parameter!B32-Parameter!B43)))))*B27</f>
        <v>4831</v>
      </c>
    </row>
    <row r="50" ht="12">
      <c r="A50" s="12"/>
    </row>
    <row r="51" spans="1:2" ht="12">
      <c r="A51" s="9" t="s">
        <v>20</v>
      </c>
      <c r="B51" s="10"/>
    </row>
    <row r="52" ht="12">
      <c r="B52" s="15"/>
    </row>
    <row r="53" spans="1:2" ht="12">
      <c r="A53" s="1" t="s">
        <v>16</v>
      </c>
      <c r="B53" s="15">
        <f>MIN(Parameter!B21,B46)*1.25</f>
        <v>34975</v>
      </c>
    </row>
    <row r="54" spans="1:2" ht="12">
      <c r="A54" s="1" t="s">
        <v>22</v>
      </c>
      <c r="B54" s="1">
        <f>IF(B53&lt;=Parameter!B23,0,IF(B53&lt;=Parameter!B34,INT((Parameter!B40*(B53-Parameter!B23)/10000+Parameter!B41)*(B53-Parameter!B23)/10000),IF(B53&lt;=Parameter!B35,INT((Parameter!B37*(B53-Parameter!B34)/10000+Parameter!B38)*(B53-Parameter!B34)/10000+Parameter!B39),IF(B53&lt;=Parameter!B36,INT(B53*Parameter!B31-Parameter!B42),INT(B53*Parameter!B32-Parameter!B43)))))</f>
        <v>6860</v>
      </c>
    </row>
    <row r="55" spans="1:2" ht="12">
      <c r="A55" s="1" t="s">
        <v>16</v>
      </c>
      <c r="B55" s="15">
        <f>MIN(Parameter!B21,B46)*0.75</f>
        <v>20985</v>
      </c>
    </row>
    <row r="56" spans="1:2" ht="12">
      <c r="A56" s="1" t="s">
        <v>23</v>
      </c>
      <c r="B56" s="1">
        <f>IF(B55&lt;=Parameter!B23,0,IF(B55&lt;=Parameter!B34,INT((Parameter!B40*(B55-Parameter!B23)/10000+Parameter!B41)*(B55-Parameter!B23)/10000),IF(B55&lt;=Parameter!B35,INT((Parameter!B37*(B55-Parameter!B34)/10000+Parameter!B38)*(B55-Parameter!B34)/10000+Parameter!B39),IF(B55&lt;=Parameter!B36,INT(B55*Parameter!B31-Parameter!B42),INT(B55*Parameter!B32-Parameter!B43)))))</f>
        <v>2676</v>
      </c>
    </row>
    <row r="57" spans="1:2" ht="12">
      <c r="A57" s="1" t="s">
        <v>24</v>
      </c>
      <c r="B57" s="15">
        <f>(B54-B56)*2</f>
        <v>8368</v>
      </c>
    </row>
    <row r="58" spans="1:2" ht="12">
      <c r="A58" s="1" t="s">
        <v>25</v>
      </c>
      <c r="B58" s="1">
        <f>ROUNDDOWN(MIN(B46,Parameter!B21)*0.14,0)</f>
        <v>3917</v>
      </c>
    </row>
    <row r="59" spans="1:2" ht="12">
      <c r="A59" s="1" t="s">
        <v>17</v>
      </c>
      <c r="B59" s="15">
        <f>MAX(B57,B58)</f>
        <v>8368</v>
      </c>
    </row>
    <row r="60" spans="1:2" ht="12">
      <c r="A60" s="1" t="s">
        <v>17</v>
      </c>
      <c r="B60" s="15">
        <f>IF(B46&gt;Parameter!B22,(Parameter!B22-Parameter!B21)*Parameter!B31+B59,ROUNDDOWN(MAX(B46-Parameter!B21,0)*Parameter!B31+B59,0))</f>
        <v>8603</v>
      </c>
    </row>
    <row r="61" spans="1:4" ht="12">
      <c r="A61" s="1" t="s">
        <v>62</v>
      </c>
      <c r="B61" s="1">
        <f>IF(AND(B46&gt;Parameter!B20,B46&lt;=Parameter!B21),B59,0)</f>
        <v>0</v>
      </c>
      <c r="D61" s="15"/>
    </row>
    <row r="62" spans="1:4" ht="12">
      <c r="A62" s="1" t="s">
        <v>17</v>
      </c>
      <c r="B62" s="15">
        <f>ROUNDDOWN(Parameter!B20*0.14,0)</f>
        <v>1488</v>
      </c>
      <c r="D62" s="94"/>
    </row>
    <row r="63" spans="1:4" ht="12">
      <c r="A63" s="1" t="s">
        <v>17</v>
      </c>
      <c r="B63" s="15">
        <f>MIN(ROUNDDOWN(MAX(B46-Parameter!B20,0)*Parameter!B31+B62,0),B60)</f>
        <v>8603</v>
      </c>
      <c r="D63" s="1" t="s">
        <v>104</v>
      </c>
    </row>
    <row r="64" spans="1:2" ht="12">
      <c r="A64" s="1" t="s">
        <v>63</v>
      </c>
      <c r="B64" s="15">
        <f>ROUNDDOWN(MAX(B46-Parameter!B22,0)*Parameter!B32+B63,0)</f>
        <v>8603</v>
      </c>
    </row>
    <row r="65" spans="1:4" ht="12">
      <c r="A65" s="1" t="s">
        <v>18</v>
      </c>
      <c r="B65" s="1">
        <f>ROUNDDOWN(IF(B7&lt;5,B49,B64)*B13,0)</f>
        <v>4831</v>
      </c>
      <c r="D65" s="1" t="s">
        <v>98</v>
      </c>
    </row>
    <row r="66" spans="1:4" ht="12">
      <c r="A66" s="1" t="s">
        <v>5</v>
      </c>
      <c r="B66" s="1">
        <f>B65*100</f>
        <v>483100</v>
      </c>
      <c r="D66" s="1" t="s">
        <v>99</v>
      </c>
    </row>
    <row r="67" ht="12">
      <c r="D67" s="1" t="s">
        <v>100</v>
      </c>
    </row>
    <row r="68" spans="1:2" ht="12">
      <c r="A68" s="9" t="s">
        <v>61</v>
      </c>
      <c r="B68" s="10"/>
    </row>
    <row r="70" spans="1:2" ht="12">
      <c r="A70" s="1" t="s">
        <v>37</v>
      </c>
      <c r="B70" s="1">
        <f>IF(B4=1,B66,IF(B4=2,ROUNDDOWN(B66/12,0),IF(B4=3,ROUNDDOWN((B66*7)/360,0),ROUNDDOWN(B66/360,0))))</f>
        <v>40258</v>
      </c>
    </row>
    <row r="71" spans="1:2" ht="12">
      <c r="A71" s="1" t="s">
        <v>14</v>
      </c>
      <c r="B71" s="1">
        <f>B31+B32</f>
        <v>1036</v>
      </c>
    </row>
    <row r="72" spans="1:2" ht="12">
      <c r="A72" s="1" t="s">
        <v>15</v>
      </c>
      <c r="B72" s="15">
        <f>B23-B42-B71</f>
        <v>28541</v>
      </c>
    </row>
    <row r="73" spans="1:2" ht="12">
      <c r="A73" s="1" t="s">
        <v>40</v>
      </c>
      <c r="B73" s="1">
        <f>IF(B72&lt;36,0,ROUNDDOWN(B72/B27,0))</f>
        <v>28541</v>
      </c>
    </row>
    <row r="74" spans="1:4" ht="12">
      <c r="A74" s="1" t="s">
        <v>17</v>
      </c>
      <c r="B74" s="1">
        <f>IF(B73&lt;=Parameter!B23,0,IF(B73&lt;=Parameter!B34,INT((Parameter!B40*(B73-Parameter!B23)/10000+Parameter!B41)*(B73-Parameter!B23)/10000),IF(B73&lt;=Parameter!B35,INT((Parameter!B37*(B73-Parameter!B34)/10000+Parameter!B38)*(B73-Parameter!B34)/10000+Parameter!B39),IF(B73&lt;=Parameter!B36,INT(B73*Parameter!B31-Parameter!B42),INT(B73*Parameter!B32-Parameter!B43)))))*B27</f>
        <v>4831</v>
      </c>
      <c r="D74" s="1" t="s">
        <v>98</v>
      </c>
    </row>
    <row r="75" spans="1:4" ht="12">
      <c r="A75" s="1" t="s">
        <v>27</v>
      </c>
      <c r="B75" s="1">
        <f>IF(B3&gt;0,ROUNDDOWN(B74*B13,0),B65)</f>
        <v>4831</v>
      </c>
      <c r="D75" s="1" t="s">
        <v>101</v>
      </c>
    </row>
    <row r="77" spans="1:2" ht="12">
      <c r="A77" s="9" t="s">
        <v>28</v>
      </c>
      <c r="B77" s="10"/>
    </row>
    <row r="78" spans="1:2" ht="12">
      <c r="A78" s="1" t="s">
        <v>29</v>
      </c>
      <c r="B78" s="1">
        <f>Parameter!B24*B27</f>
        <v>972</v>
      </c>
    </row>
    <row r="79" spans="1:2" ht="12">
      <c r="A79" s="1" t="s">
        <v>30</v>
      </c>
      <c r="B79" s="19">
        <f>ROUNDDOWN((B75*Parameter!B33)/100,2)</f>
        <v>265.7</v>
      </c>
    </row>
    <row r="80" spans="1:2" ht="12">
      <c r="A80" s="1" t="s">
        <v>31</v>
      </c>
      <c r="B80" s="19">
        <f>((B75-B78)*20)/100</f>
        <v>771.8</v>
      </c>
    </row>
    <row r="81" spans="1:5" ht="12">
      <c r="A81" s="1" t="s">
        <v>30</v>
      </c>
      <c r="B81" s="19">
        <f>MIN(B80,B79)</f>
        <v>265.7</v>
      </c>
      <c r="E81" s="19"/>
    </row>
    <row r="82" spans="1:2" ht="12">
      <c r="A82" s="1" t="s">
        <v>5</v>
      </c>
      <c r="B82" s="1">
        <f>B81*100</f>
        <v>26570</v>
      </c>
    </row>
    <row r="84" spans="1:2" ht="12">
      <c r="A84" s="9" t="s">
        <v>60</v>
      </c>
      <c r="B84" s="10"/>
    </row>
    <row r="85" spans="1:2" ht="12">
      <c r="A85" s="1" t="s">
        <v>19</v>
      </c>
      <c r="B85" s="1">
        <f>ROUNDDOWN(IF(B4=1,B82,IF(B4=2,B82/12,IF(B4=3,(B82*7)/360,B82/360))),0)</f>
        <v>2214</v>
      </c>
    </row>
    <row r="86" spans="1:2" ht="12">
      <c r="A86" s="1" t="s">
        <v>38</v>
      </c>
      <c r="B86" s="1">
        <f>IF(B75&gt;B78,B85,0)</f>
        <v>2214</v>
      </c>
    </row>
    <row r="87" spans="1:2" ht="12">
      <c r="A87" s="1" t="s">
        <v>5</v>
      </c>
      <c r="B87" s="1">
        <f>B75*100</f>
        <v>483100</v>
      </c>
    </row>
    <row r="89" spans="1:2" ht="12">
      <c r="A89" s="9" t="s">
        <v>32</v>
      </c>
      <c r="B89" s="10"/>
    </row>
    <row r="90" spans="1:2" ht="12">
      <c r="A90" s="1" t="s">
        <v>19</v>
      </c>
      <c r="B90" s="1">
        <f>ROUNDDOWN(IF(B4=1,B87,IF(B4=2,B87/12,IF(B4=3,(B87*7)/360,B87/360))),0)</f>
        <v>40258</v>
      </c>
    </row>
    <row r="91" spans="1:2" ht="12">
      <c r="A91" s="1" t="s">
        <v>32</v>
      </c>
      <c r="B91" s="1">
        <f>B90</f>
        <v>40258</v>
      </c>
    </row>
  </sheetData>
  <sheetProtection/>
  <printOptions/>
  <pageMargins left="0.787401575" right="0.787401575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M20" sqref="M20"/>
    </sheetView>
  </sheetViews>
  <sheetFormatPr defaultColWidth="11.421875" defaultRowHeight="12.75"/>
  <cols>
    <col min="1" max="1" width="18.57421875" style="0" bestFit="1" customWidth="1"/>
    <col min="2" max="2" width="10.421875" style="0" bestFit="1" customWidth="1"/>
    <col min="3" max="3" width="10.140625" style="0" bestFit="1" customWidth="1"/>
  </cols>
  <sheetData>
    <row r="1" spans="1:3" ht="18">
      <c r="A1" s="99" t="str">
        <f>"SOZ-VS-BEITRAGSSÄTZE  "&amp;BearbJahr</f>
        <v>SOZ-VS-BEITRAGSSÄTZE  </v>
      </c>
      <c r="B1" s="100"/>
      <c r="C1" s="101"/>
    </row>
    <row r="2" spans="1:3" ht="15.75" thickBot="1">
      <c r="A2" s="102" t="s">
        <v>111</v>
      </c>
      <c r="B2" s="103" t="s">
        <v>112</v>
      </c>
      <c r="C2" s="104" t="s">
        <v>113</v>
      </c>
    </row>
    <row r="3" spans="1:3" ht="12.75">
      <c r="A3" s="105" t="s">
        <v>114</v>
      </c>
      <c r="B3" s="106">
        <v>0.146</v>
      </c>
      <c r="C3" s="107">
        <f>B3/2+Eingabe!C14/200</f>
        <v>0.078</v>
      </c>
    </row>
    <row r="4" spans="1:3" ht="12.75">
      <c r="A4" s="108" t="s">
        <v>115</v>
      </c>
      <c r="B4" s="109">
        <f>Eingabe!C14/100</f>
        <v>0.01</v>
      </c>
      <c r="C4" s="107">
        <f>B4/2+0.07</f>
        <v>0.07500000000000001</v>
      </c>
    </row>
    <row r="5" spans="1:3" ht="12.75">
      <c r="A5" s="105" t="s">
        <v>116</v>
      </c>
      <c r="B5" s="110">
        <v>0.186</v>
      </c>
      <c r="C5" s="107">
        <f>B5/2</f>
        <v>0.093</v>
      </c>
    </row>
    <row r="6" spans="1:3" ht="12.75">
      <c r="A6" s="108" t="s">
        <v>117</v>
      </c>
      <c r="B6" s="109">
        <v>0.025</v>
      </c>
      <c r="C6" s="107">
        <f>B6/2</f>
        <v>0.0125</v>
      </c>
    </row>
    <row r="7" spans="1:3" ht="12.75">
      <c r="A7" s="108" t="s">
        <v>118</v>
      </c>
      <c r="B7" s="109">
        <v>0.0305</v>
      </c>
      <c r="C7" s="107">
        <f>IF(AND(Eingabe!C15=1,Eingabe!C17=1),B8+B9,IF(Eingabe!C14=1,B8,IF(AND(Eingabe!C7=0,Eingabe!C15=1),B7/2+B9,B7/2)))</f>
        <v>0.02275</v>
      </c>
    </row>
    <row r="8" spans="1:3" ht="12.75">
      <c r="A8" s="108" t="s">
        <v>119</v>
      </c>
      <c r="B8" s="106">
        <v>0.02025</v>
      </c>
      <c r="C8" s="111"/>
    </row>
    <row r="9" spans="1:3" ht="12.75">
      <c r="A9" s="112" t="s">
        <v>120</v>
      </c>
      <c r="B9" s="106">
        <v>0.0025</v>
      </c>
      <c r="C9" s="113"/>
    </row>
    <row r="10" spans="1:3" ht="12.75">
      <c r="A10" s="112" t="s">
        <v>121</v>
      </c>
      <c r="B10" s="106">
        <v>0.009</v>
      </c>
      <c r="C10" s="113"/>
    </row>
    <row r="11" spans="1:3" ht="12.75">
      <c r="A11" s="112" t="s">
        <v>122</v>
      </c>
      <c r="B11" s="114">
        <v>0.0745</v>
      </c>
      <c r="C11" s="111">
        <f>B3/2+B7-C7+B10/2</f>
        <v>0.08524999999999999</v>
      </c>
    </row>
    <row r="12" spans="1:3" ht="12.75">
      <c r="A12" s="115"/>
      <c r="B12" s="115"/>
      <c r="C12" s="115"/>
    </row>
    <row r="13" spans="1:3" ht="16.5">
      <c r="A13" s="116" t="s">
        <v>123</v>
      </c>
      <c r="B13" s="117"/>
      <c r="C13" s="118"/>
    </row>
    <row r="14" spans="1:3" ht="15.75" thickBot="1">
      <c r="A14" s="119" t="s">
        <v>124</v>
      </c>
      <c r="B14" s="120" t="s">
        <v>125</v>
      </c>
      <c r="C14" s="119" t="s">
        <v>126</v>
      </c>
    </row>
    <row r="15" spans="1:3" ht="13.5" thickTop="1">
      <c r="A15" s="105" t="s">
        <v>127</v>
      </c>
      <c r="B15" s="121">
        <v>80400</v>
      </c>
      <c r="C15" s="122" t="s">
        <v>128</v>
      </c>
    </row>
    <row r="16" spans="1:3" ht="12.75">
      <c r="A16" s="105" t="s">
        <v>127</v>
      </c>
      <c r="B16" s="123">
        <v>73800</v>
      </c>
      <c r="C16" s="124"/>
    </row>
    <row r="17" spans="1:3" ht="12.75">
      <c r="A17" s="105" t="s">
        <v>129</v>
      </c>
      <c r="B17" s="121">
        <v>54450</v>
      </c>
      <c r="C17" s="124"/>
    </row>
    <row r="18" spans="1:3" ht="12.75">
      <c r="A18" s="108" t="s">
        <v>130</v>
      </c>
      <c r="B18" s="125">
        <v>0.0745</v>
      </c>
      <c r="C18" s="124"/>
    </row>
    <row r="19" spans="1:3" ht="12.75">
      <c r="A19" s="126" t="s">
        <v>131</v>
      </c>
      <c r="B19" s="127">
        <v>0.76</v>
      </c>
      <c r="C19" s="124"/>
    </row>
    <row r="20" spans="1:3" ht="12.75">
      <c r="A20" s="128" t="s">
        <v>132</v>
      </c>
      <c r="B20" s="129">
        <v>10635</v>
      </c>
      <c r="C20" s="124"/>
    </row>
    <row r="21" spans="1:3" ht="12.75">
      <c r="A21" s="128" t="s">
        <v>133</v>
      </c>
      <c r="B21" s="129">
        <v>27980</v>
      </c>
      <c r="C21" s="124"/>
    </row>
    <row r="22" spans="1:3" ht="12.75">
      <c r="A22" s="128" t="s">
        <v>134</v>
      </c>
      <c r="B22" s="129">
        <v>212261</v>
      </c>
      <c r="C22" s="124"/>
    </row>
    <row r="23" spans="1:3" ht="12.75">
      <c r="A23" s="128" t="s">
        <v>135</v>
      </c>
      <c r="B23" s="129">
        <v>9168</v>
      </c>
      <c r="C23" s="124"/>
    </row>
    <row r="24" spans="1:3" ht="13.5" thickBot="1">
      <c r="A24" s="130" t="s">
        <v>29</v>
      </c>
      <c r="B24" s="131">
        <v>972</v>
      </c>
      <c r="C24" s="132"/>
    </row>
    <row r="25" spans="1:3" ht="13.5" thickTop="1">
      <c r="A25" s="108" t="s">
        <v>11</v>
      </c>
      <c r="B25" s="133">
        <v>1000</v>
      </c>
      <c r="C25" s="134" t="s">
        <v>9</v>
      </c>
    </row>
    <row r="26" spans="1:3" ht="12.75">
      <c r="A26" s="108" t="s">
        <v>39</v>
      </c>
      <c r="B26" s="123">
        <v>1908</v>
      </c>
      <c r="C26" s="124"/>
    </row>
    <row r="27" spans="1:3" ht="12.75">
      <c r="A27" s="126" t="s">
        <v>12</v>
      </c>
      <c r="B27" s="135">
        <v>36</v>
      </c>
      <c r="C27" s="124"/>
    </row>
    <row r="28" spans="1:3" ht="13.5" thickBot="1">
      <c r="A28" s="136" t="s">
        <v>13</v>
      </c>
      <c r="B28" s="137">
        <v>7620</v>
      </c>
      <c r="C28" s="132"/>
    </row>
    <row r="29" spans="1:3" ht="13.5" thickTop="1">
      <c r="A29" s="105" t="s">
        <v>136</v>
      </c>
      <c r="B29" s="138">
        <v>1900</v>
      </c>
      <c r="C29" s="139" t="s">
        <v>42</v>
      </c>
    </row>
    <row r="30" spans="1:3" ht="12" thickBot="1">
      <c r="A30" s="136" t="s">
        <v>136</v>
      </c>
      <c r="B30" s="137">
        <v>3000</v>
      </c>
      <c r="C30" s="132"/>
    </row>
    <row r="31" spans="1:3" ht="12" thickTop="1">
      <c r="A31" s="140"/>
      <c r="B31" s="141">
        <v>0.42</v>
      </c>
      <c r="C31" s="122" t="s">
        <v>20</v>
      </c>
    </row>
    <row r="32" spans="1:3" ht="12" thickBot="1">
      <c r="A32" s="132"/>
      <c r="B32" s="131">
        <v>0.45</v>
      </c>
      <c r="C32" s="132"/>
    </row>
    <row r="33" spans="1:3" ht="12.75" thickBot="1" thickTop="1">
      <c r="A33" s="132" t="s">
        <v>137</v>
      </c>
      <c r="B33" s="142">
        <v>5.5</v>
      </c>
      <c r="C33" s="143" t="s">
        <v>28</v>
      </c>
    </row>
    <row r="34" spans="1:3" ht="12" thickTop="1">
      <c r="A34" s="124"/>
      <c r="B34" s="129">
        <v>14254</v>
      </c>
      <c r="C34" s="139" t="s">
        <v>138</v>
      </c>
    </row>
    <row r="35" spans="1:3" ht="12">
      <c r="A35" s="124"/>
      <c r="B35" s="129">
        <v>55960</v>
      </c>
      <c r="C35" s="124"/>
    </row>
    <row r="36" spans="1:3" ht="12">
      <c r="A36" s="124"/>
      <c r="B36" s="129">
        <v>265326</v>
      </c>
      <c r="C36" s="124"/>
    </row>
    <row r="37" spans="1:3" ht="12">
      <c r="A37" s="124"/>
      <c r="B37" s="144">
        <v>216.16</v>
      </c>
      <c r="C37" s="124"/>
    </row>
    <row r="38" spans="1:3" ht="12">
      <c r="A38" s="124"/>
      <c r="B38" s="129">
        <v>2397</v>
      </c>
      <c r="C38" s="124"/>
    </row>
    <row r="39" spans="1:3" ht="12">
      <c r="A39" s="124"/>
      <c r="B39" s="144">
        <v>965.58</v>
      </c>
      <c r="C39" s="124"/>
    </row>
    <row r="40" spans="1:3" ht="12">
      <c r="A40" s="124"/>
      <c r="B40" s="144">
        <v>980.14</v>
      </c>
      <c r="C40" s="124"/>
    </row>
    <row r="41" spans="1:3" ht="12">
      <c r="A41" s="124"/>
      <c r="B41" s="129">
        <v>1400</v>
      </c>
      <c r="C41" s="124"/>
    </row>
    <row r="42" spans="1:3" ht="12">
      <c r="A42" s="124"/>
      <c r="B42" s="144">
        <v>8780.9</v>
      </c>
      <c r="C42" s="124"/>
    </row>
    <row r="43" spans="1:3" ht="12">
      <c r="A43" s="145"/>
      <c r="B43" s="144">
        <v>16740.68</v>
      </c>
      <c r="C43" s="145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http://www.parmentier.de/steuer/entgeldumwandlung11.xls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Lohnsteuerberechnung 2013 mit Zellfunktionen</dc:title>
  <dc:subject>bAV berücksichtigen</dc:subject>
  <dc:creator>Claus Becker update: W.Parmentier</dc:creator>
  <cp:keywords/>
  <dc:description/>
  <cp:lastModifiedBy>johannes</cp:lastModifiedBy>
  <cp:lastPrinted>2008-04-25T10:37:48Z</cp:lastPrinted>
  <dcterms:created xsi:type="dcterms:W3CDTF">1999-02-09T12:11:13Z</dcterms:created>
  <dcterms:modified xsi:type="dcterms:W3CDTF">2019-01-07T08:22:04Z</dcterms:modified>
  <cp:category/>
  <cp:version/>
  <cp:contentType/>
  <cp:contentStatus/>
</cp:coreProperties>
</file>