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16720" windowHeight="20540" activeTab="0"/>
  </bookViews>
  <sheets>
    <sheet name="Eingabe" sheetId="1" r:id="rId1"/>
    <sheet name="Berechnung" sheetId="2" r:id="rId2"/>
    <sheet name="Parameter" sheetId="3" r:id="rId3"/>
  </sheets>
  <definedNames>
    <definedName name="BearbJahr">'Parameter'!$B$1</definedName>
  </definedNames>
  <calcPr fullCalcOnLoad="1"/>
</workbook>
</file>

<file path=xl/sharedStrings.xml><?xml version="1.0" encoding="utf-8"?>
<sst xmlns="http://schemas.openxmlformats.org/spreadsheetml/2006/main" count="211" uniqueCount="113">
  <si>
    <t>STKL</t>
  </si>
  <si>
    <t>JW</t>
  </si>
  <si>
    <t>MRE4</t>
  </si>
  <si>
    <t>ZRE4</t>
  </si>
  <si>
    <t>MZTABFB</t>
  </si>
  <si>
    <t>KZTAB</t>
  </si>
  <si>
    <t>ANP</t>
  </si>
  <si>
    <t>SAP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</si>
  <si>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</si>
  <si>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</si>
  <si>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</si>
  <si>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</si>
  <si>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</si>
  <si>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</si>
  <si>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</si>
  <si>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</si>
  <si>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</si>
  <si>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</si>
  <si>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</si>
  <si>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</si>
  <si>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</si>
  <si>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MSOLZ</t>
  </si>
  <si>
    <t>SOLZFREI</t>
  </si>
  <si>
    <t>SOLZJ</t>
  </si>
  <si>
    <t>SOLZMIN</t>
  </si>
  <si>
    <t>ZRE4VP</t>
  </si>
  <si>
    <t>Lohnsteuer</t>
  </si>
  <si>
    <t>Solidaritätszuschlag</t>
  </si>
  <si>
    <t>LSTLZZ</t>
  </si>
  <si>
    <t>EFA</t>
  </si>
  <si>
    <t>UPEVP</t>
  </si>
  <si>
    <t>VSP1</t>
  </si>
  <si>
    <t>VSP2</t>
  </si>
  <si>
    <t>VHB</t>
  </si>
  <si>
    <t>VSPN</t>
  </si>
  <si>
    <t>€</t>
  </si>
  <si>
    <t>Steuerklasse 1 - 6</t>
  </si>
  <si>
    <t>SOLZ</t>
  </si>
  <si>
    <t>MLSTJAHR</t>
  </si>
  <si>
    <t>VERGL</t>
  </si>
  <si>
    <t>MIT REICHST</t>
  </si>
  <si>
    <t>ZRE4J</t>
  </si>
  <si>
    <t>Kinderfreibetrag auf LStrKarte = 1, ohne = 2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</si>
  <si>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</si>
  <si>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</si>
  <si>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</si>
  <si>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&gt; BBGR ?</t>
  </si>
  <si>
    <t>ABZ</t>
  </si>
  <si>
    <t>SOLZU</t>
  </si>
  <si>
    <t>SozP</t>
  </si>
  <si>
    <t>NETENT</t>
  </si>
  <si>
    <t>GLOHN (SOLL)</t>
  </si>
  <si>
    <t>GLOHN (IST)</t>
  </si>
  <si>
    <t>x Leistungssatz</t>
  </si>
  <si>
    <t>Sozialversicherungspauschale</t>
  </si>
  <si>
    <t>entsprechend dem Programmablauplan des Bundesmin. für Arbeit u.Soziales</t>
  </si>
  <si>
    <t>http://www.lohn-info.de/kurzarbeitergeld.html</t>
  </si>
  <si>
    <t>auf durch 20 teilbaren Betrag gerundet</t>
  </si>
  <si>
    <t>LST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</si>
  <si>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</si>
  <si>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</si>
  <si>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</si>
  <si>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</si>
  <si>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</si>
  <si>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</si>
  <si>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</si>
  <si>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</si>
  <si>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</si>
  <si>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</si>
  <si>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</si>
  <si>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</si>
  <si>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Geringverdiener (unter 325 € monatlich) nicht berücksichtigt.</t>
  </si>
  <si>
    <t>Sozialversicherung f. KUG bezahlt dann allein der Arbeitgeber</t>
  </si>
  <si>
    <t>Arbeitsstelle in Ostdeutschland nein=0, ja=1</t>
  </si>
  <si>
    <t>KV</t>
  </si>
  <si>
    <t>KV&gt;VHB?</t>
  </si>
  <si>
    <t>für SOLL</t>
  </si>
  <si>
    <t>Für IST</t>
  </si>
  <si>
    <t>BBGR</t>
  </si>
  <si>
    <t>pauschaliertes Nettoentgelt</t>
  </si>
  <si>
    <t>rechnerischer Leistungssatz</t>
  </si>
  <si>
    <t>pauschaliertes Nettoentgelt = Brutto - ( LSt+Soli+SozP)</t>
  </si>
  <si>
    <t>Wolfgang† und Johannes Parmentier Frankfurt am Main e-Mail:</t>
  </si>
  <si>
    <t>steuer@parmentier.de</t>
  </si>
  <si>
    <t>http://www.parmentier.de/steuer/index.php</t>
  </si>
  <si>
    <t>Bezeichnung</t>
  </si>
  <si>
    <t>SATZ</t>
  </si>
  <si>
    <t>Berechnet</t>
  </si>
  <si>
    <t>KVSATZ</t>
  </si>
  <si>
    <t>KV_Zusatz</t>
  </si>
  <si>
    <t>RV_Satz</t>
  </si>
  <si>
    <t>PV_Satz</t>
  </si>
  <si>
    <t>BMF - PAP - ANGABEN</t>
  </si>
  <si>
    <t>Name</t>
  </si>
  <si>
    <t>WERT</t>
  </si>
  <si>
    <t>Bereich</t>
  </si>
  <si>
    <t>MPARA</t>
  </si>
  <si>
    <t>KVSATZAG</t>
  </si>
  <si>
    <t>TBSVORV</t>
  </si>
  <si>
    <t>W1STKL5</t>
  </si>
  <si>
    <t>W2STKL5</t>
  </si>
  <si>
    <t>W3STKL5</t>
  </si>
  <si>
    <t>GFB</t>
  </si>
  <si>
    <t>VHB / VSP2</t>
  </si>
  <si>
    <t>SOLI</t>
  </si>
  <si>
    <t>Kurzarbeitergeld</t>
  </si>
  <si>
    <t>UPTAB</t>
  </si>
  <si>
    <t>KVAN + PVAN</t>
  </si>
  <si>
    <t>KVGR</t>
  </si>
  <si>
    <t>schale (gerundetes Brutto x 20%). Die Summe davon wird vom ge-</t>
  </si>
  <si>
    <t>Berechnung des Kurzarbeitgeldes nach dem SGB III für 2020</t>
  </si>
  <si>
    <t>UPTAB20</t>
  </si>
  <si>
    <t xml:space="preserve"> Stand 01.02.2020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</si>
</sst>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0.00000_ ;\-0.00000\ "/>
    <numFmt numFmtId="197" formatCode="#,##0.0000_ ;\-#,##0.0000\ "/>
    <numFmt numFmtId="198" formatCode="#,##0.000\ &quot;€&quot;"/>
    <numFmt numFmtId="199" formatCode="0.000%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9"/>
      <name val="Arial"/>
      <family val="2"/>
    </font>
    <font>
      <sz val="13"/>
      <name val="Lucida Grand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6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53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95" fontId="0" fillId="0" borderId="0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95" fontId="0" fillId="0" borderId="10" xfId="44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95" fontId="0" fillId="0" borderId="11" xfId="44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2" fontId="1" fillId="35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95" fontId="17" fillId="0" borderId="11" xfId="44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95" fontId="1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193" fontId="0" fillId="0" borderId="0" xfId="0" applyNumberFormat="1" applyFill="1" applyAlignment="1" applyProtection="1">
      <alignment/>
      <protection hidden="1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53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4" fillId="36" borderId="0" xfId="53" applyFill="1" applyBorder="1" applyAlignment="1" applyProtection="1">
      <alignment horizontal="center"/>
      <protection/>
    </xf>
    <xf numFmtId="0" fontId="9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4" fillId="34" borderId="0" xfId="53" applyFill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181" fontId="3" fillId="0" borderId="0" xfId="0" applyNumberFormat="1" applyFont="1" applyBorder="1" applyAlignment="1">
      <alignment/>
    </xf>
    <xf numFmtId="181" fontId="4" fillId="0" borderId="0" xfId="53" applyNumberFormat="1" applyFont="1" applyFill="1" applyBorder="1" applyAlignment="1" applyProtection="1">
      <alignment/>
      <protection/>
    </xf>
    <xf numFmtId="181" fontId="0" fillId="0" borderId="0" xfId="0" applyNumberFormat="1" applyBorder="1" applyAlignment="1">
      <alignment/>
    </xf>
    <xf numFmtId="18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hidden="1"/>
    </xf>
    <xf numFmtId="2" fontId="10" fillId="0" borderId="19" xfId="0" applyNumberFormat="1" applyFont="1" applyFill="1" applyBorder="1" applyAlignment="1">
      <alignment/>
    </xf>
    <xf numFmtId="14" fontId="15" fillId="36" borderId="17" xfId="53" applyNumberFormat="1" applyFont="1" applyFill="1" applyBorder="1" applyAlignment="1" applyProtection="1">
      <alignment horizontal="right"/>
      <protection/>
    </xf>
    <xf numFmtId="0" fontId="4" fillId="0" borderId="0" xfId="53" applyAlignment="1" applyProtection="1">
      <alignment horizontal="center"/>
      <protection/>
    </xf>
    <xf numFmtId="0" fontId="54" fillId="0" borderId="13" xfId="0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0" fontId="0" fillId="36" borderId="0" xfId="0" applyNumberFormat="1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18" fillId="37" borderId="20" xfId="0" applyFont="1" applyFill="1" applyBorder="1" applyAlignment="1">
      <alignment horizontal="centerContinuous" vertical="center"/>
    </xf>
    <xf numFmtId="0" fontId="19" fillId="37" borderId="13" xfId="0" applyFont="1" applyFill="1" applyBorder="1" applyAlignment="1">
      <alignment horizontal="centerContinuous"/>
    </xf>
    <xf numFmtId="0" fontId="19" fillId="37" borderId="12" xfId="0" applyFont="1" applyFill="1" applyBorder="1" applyAlignment="1">
      <alignment horizontal="centerContinuous"/>
    </xf>
    <xf numFmtId="0" fontId="20" fillId="37" borderId="21" xfId="0" applyFont="1" applyFill="1" applyBorder="1" applyAlignment="1">
      <alignment/>
    </xf>
    <xf numFmtId="0" fontId="20" fillId="37" borderId="22" xfId="0" applyFont="1" applyFill="1" applyBorder="1" applyAlignment="1">
      <alignment horizontal="center"/>
    </xf>
    <xf numFmtId="0" fontId="20" fillId="37" borderId="21" xfId="0" applyFont="1" applyFill="1" applyBorder="1" applyAlignment="1">
      <alignment horizontal="right"/>
    </xf>
    <xf numFmtId="0" fontId="0" fillId="0" borderId="19" xfId="63" applyFont="1" applyFill="1" applyBorder="1" applyAlignment="1">
      <alignment vertical="center"/>
      <protection/>
    </xf>
    <xf numFmtId="199" fontId="0" fillId="38" borderId="13" xfId="63" applyNumberFormat="1" applyFont="1" applyFill="1" applyBorder="1" applyAlignment="1">
      <alignment horizontal="right" vertical="center" indent="1"/>
      <protection/>
    </xf>
    <xf numFmtId="199" fontId="0" fillId="39" borderId="13" xfId="63" applyNumberFormat="1" applyFont="1" applyFill="1" applyBorder="1" applyAlignment="1">
      <alignment horizontal="right" vertical="center" indent="1"/>
      <protection/>
    </xf>
    <xf numFmtId="0" fontId="0" fillId="0" borderId="12" xfId="63" applyFont="1" applyFill="1" applyBorder="1" applyAlignment="1">
      <alignment vertical="center"/>
      <protection/>
    </xf>
    <xf numFmtId="10" fontId="0" fillId="38" borderId="12" xfId="63" applyNumberFormat="1" applyFont="1" applyFill="1" applyBorder="1" applyAlignment="1">
      <alignment horizontal="right" vertical="center" indent="1"/>
      <protection/>
    </xf>
    <xf numFmtId="10" fontId="0" fillId="38" borderId="19" xfId="63" applyNumberFormat="1" applyFont="1" applyFill="1" applyBorder="1" applyAlignment="1">
      <alignment horizontal="right" vertical="center" indent="1"/>
      <protection/>
    </xf>
    <xf numFmtId="0" fontId="0" fillId="0" borderId="0" xfId="0" applyFont="1" applyAlignment="1">
      <alignment/>
    </xf>
    <xf numFmtId="0" fontId="18" fillId="37" borderId="20" xfId="63" applyFont="1" applyFill="1" applyBorder="1" applyAlignment="1" applyProtection="1">
      <alignment horizontal="centerContinuous"/>
      <protection hidden="1"/>
    </xf>
    <xf numFmtId="0" fontId="21" fillId="37" borderId="14" xfId="63" applyFont="1" applyFill="1" applyBorder="1" applyAlignment="1" applyProtection="1">
      <alignment horizontal="centerContinuous"/>
      <protection hidden="1"/>
    </xf>
    <xf numFmtId="0" fontId="21" fillId="37" borderId="13" xfId="63" applyFont="1" applyFill="1" applyBorder="1" applyAlignment="1" applyProtection="1">
      <alignment horizontal="centerContinuous"/>
      <protection hidden="1"/>
    </xf>
    <xf numFmtId="0" fontId="20" fillId="37" borderId="23" xfId="63" applyFont="1" applyFill="1" applyBorder="1" applyAlignment="1" applyProtection="1">
      <alignment/>
      <protection hidden="1"/>
    </xf>
    <xf numFmtId="0" fontId="20" fillId="37" borderId="23" xfId="0" applyFont="1" applyFill="1" applyBorder="1" applyAlignment="1">
      <alignment horizontal="center"/>
    </xf>
    <xf numFmtId="3" fontId="0" fillId="38" borderId="19" xfId="63" applyNumberFormat="1" applyFont="1" applyFill="1" applyBorder="1" applyAlignment="1" applyProtection="1">
      <alignment horizontal="right" indent="1"/>
      <protection hidden="1"/>
    </xf>
    <xf numFmtId="0" fontId="1" fillId="0" borderId="24" xfId="63" applyFont="1" applyFill="1" applyBorder="1" applyAlignment="1">
      <alignment/>
      <protection/>
    </xf>
    <xf numFmtId="3" fontId="0" fillId="38" borderId="12" xfId="63" applyNumberFormat="1" applyFont="1" applyFill="1" applyBorder="1" applyAlignment="1" applyProtection="1">
      <alignment horizontal="right" indent="1"/>
      <protection hidden="1"/>
    </xf>
    <xf numFmtId="0" fontId="0" fillId="0" borderId="11" xfId="63" applyFont="1" applyFill="1" applyBorder="1" applyAlignment="1">
      <alignment/>
      <protection/>
    </xf>
    <xf numFmtId="181" fontId="0" fillId="38" borderId="12" xfId="63" applyNumberFormat="1" applyFont="1" applyFill="1" applyBorder="1" applyAlignment="1">
      <alignment horizontal="right" vertical="center" indent="1"/>
      <protection/>
    </xf>
    <xf numFmtId="0" fontId="0" fillId="0" borderId="25" xfId="63" applyFont="1" applyFill="1" applyBorder="1" applyAlignment="1">
      <alignment vertical="center"/>
      <protection/>
    </xf>
    <xf numFmtId="4" fontId="0" fillId="38" borderId="25" xfId="63" applyNumberFormat="1" applyFont="1" applyFill="1" applyBorder="1" applyAlignment="1">
      <alignment horizontal="right" vertical="center" indent="1"/>
      <protection/>
    </xf>
    <xf numFmtId="0" fontId="0" fillId="0" borderId="12" xfId="63" applyFont="1" applyFill="1" applyBorder="1" applyAlignment="1">
      <alignment/>
      <protection/>
    </xf>
    <xf numFmtId="3" fontId="0" fillId="38" borderId="12" xfId="63" applyNumberFormat="1" applyFont="1" applyFill="1" applyBorder="1" applyAlignment="1" applyProtection="1">
      <alignment horizontal="right" vertical="center" indent="1"/>
      <protection hidden="1"/>
    </xf>
    <xf numFmtId="0" fontId="0" fillId="0" borderId="23" xfId="63" applyFont="1" applyFill="1" applyBorder="1" applyAlignment="1">
      <alignment/>
      <protection/>
    </xf>
    <xf numFmtId="4" fontId="0" fillId="38" borderId="23" xfId="63" applyNumberFormat="1" applyFont="1" applyFill="1" applyBorder="1" applyAlignment="1" applyProtection="1">
      <alignment horizontal="right" vertical="center" indent="1"/>
      <protection hidden="1"/>
    </xf>
    <xf numFmtId="0" fontId="0" fillId="0" borderId="26" xfId="63" applyFont="1" applyFill="1" applyBorder="1" applyAlignment="1">
      <alignment/>
      <protection/>
    </xf>
    <xf numFmtId="3" fontId="0" fillId="38" borderId="12" xfId="63" applyNumberFormat="1" applyFont="1" applyFill="1" applyBorder="1" applyAlignment="1">
      <alignment horizontal="right" vertical="center" indent="1"/>
      <protection/>
    </xf>
    <xf numFmtId="0" fontId="1" fillId="0" borderId="11" xfId="63" applyFont="1" applyFill="1" applyBorder="1" applyAlignment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3" fontId="0" fillId="38" borderId="23" xfId="63" applyNumberFormat="1" applyFont="1" applyFill="1" applyBorder="1" applyAlignment="1">
      <alignment horizontal="right" vertical="center" indent="1"/>
      <protection/>
    </xf>
    <xf numFmtId="3" fontId="0" fillId="38" borderId="19" xfId="63" applyNumberFormat="1" applyFont="1" applyFill="1" applyBorder="1" applyAlignment="1">
      <alignment horizontal="right" vertical="center" indent="1"/>
      <protection/>
    </xf>
    <xf numFmtId="0" fontId="1" fillId="0" borderId="11" xfId="63" applyFont="1" applyFill="1" applyBorder="1" applyAlignment="1">
      <alignment/>
      <protection/>
    </xf>
    <xf numFmtId="0" fontId="0" fillId="0" borderId="24" xfId="63" applyFont="1" applyFill="1" applyBorder="1" applyAlignment="1">
      <alignment/>
      <protection/>
    </xf>
    <xf numFmtId="4" fontId="0" fillId="38" borderId="19" xfId="63" applyNumberFormat="1" applyFont="1" applyFill="1" applyBorder="1" applyAlignment="1" applyProtection="1">
      <alignment horizontal="right" vertical="center" indent="1"/>
      <protection hidden="1"/>
    </xf>
    <xf numFmtId="4" fontId="0" fillId="38" borderId="26" xfId="63" applyNumberFormat="1" applyFont="1" applyFill="1" applyBorder="1" applyAlignment="1" applyProtection="1">
      <alignment horizontal="right" vertical="center" indent="1"/>
      <protection hidden="1"/>
    </xf>
    <xf numFmtId="0" fontId="1" fillId="0" borderId="26" xfId="63" applyFont="1" applyFill="1" applyBorder="1" applyAlignment="1">
      <alignment/>
      <protection/>
    </xf>
    <xf numFmtId="4" fontId="0" fillId="38" borderId="12" xfId="63" applyNumberFormat="1" applyFont="1" applyFill="1" applyBorder="1" applyAlignment="1" applyProtection="1">
      <alignment horizontal="right" vertical="center" indent="1"/>
      <protection hidden="1"/>
    </xf>
    <xf numFmtId="0" fontId="0" fillId="0" borderId="19" xfId="63" applyFont="1" applyFill="1" applyBorder="1" applyAlignment="1">
      <alignment/>
      <protection/>
    </xf>
    <xf numFmtId="3" fontId="0" fillId="0" borderId="0" xfId="0" applyNumberFormat="1" applyFill="1" applyAlignment="1" applyProtection="1">
      <alignment/>
      <protection hidden="1"/>
    </xf>
    <xf numFmtId="0" fontId="0" fillId="0" borderId="27" xfId="63" applyFont="1" applyFill="1" applyBorder="1" applyAlignment="1">
      <alignment vertical="center"/>
      <protection/>
    </xf>
    <xf numFmtId="3" fontId="0" fillId="38" borderId="27" xfId="63" applyNumberFormat="1" applyFont="1" applyFill="1" applyBorder="1" applyAlignment="1">
      <alignment horizontal="right" vertical="center" indent="1"/>
      <protection/>
    </xf>
    <xf numFmtId="0" fontId="0" fillId="0" borderId="21" xfId="63" applyFont="1" applyFill="1" applyBorder="1" applyAlignment="1">
      <alignment/>
      <protection/>
    </xf>
    <xf numFmtId="181" fontId="8" fillId="0" borderId="0" xfId="0" applyNumberFormat="1" applyFont="1" applyFill="1" applyBorder="1" applyAlignment="1">
      <alignment horizontal="right"/>
    </xf>
    <xf numFmtId="0" fontId="4" fillId="0" borderId="0" xfId="53" applyFill="1" applyBorder="1" applyAlignment="1" applyProtection="1">
      <alignment/>
      <protection/>
    </xf>
    <xf numFmtId="0" fontId="8" fillId="34" borderId="28" xfId="0" applyFont="1" applyFill="1" applyBorder="1" applyAlignment="1">
      <alignment horizontal="right"/>
    </xf>
    <xf numFmtId="0" fontId="4" fillId="34" borderId="0" xfId="53" applyFill="1" applyAlignment="1" applyProtection="1">
      <alignment horizontal="left"/>
      <protection/>
    </xf>
    <xf numFmtId="0" fontId="8" fillId="3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tandard 2 2 2" xfId="63"/>
    <cellStyle name="Title" xfId="64"/>
    <cellStyle name="Total" xfId="65"/>
    <cellStyle name="Währung 2" xfId="66"/>
    <cellStyle name="Währung 3" xfId="67"/>
    <cellStyle name="Währung 4" xfId="68"/>
    <cellStyle name="Warning Text" xfId="6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%20parmentier.ffm@t-online.de" TargetMode="External" /><Relationship Id="rId5" Type="http://schemas.openxmlformats.org/officeDocument/2006/relationships/hyperlink" Target="mailto:steuer@parmentier.de" TargetMode="External" /><Relationship Id="rId6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5">
      <selection activeCell="B22" sqref="B22"/>
    </sheetView>
  </sheetViews>
  <sheetFormatPr defaultColWidth="11.421875" defaultRowHeight="12.75"/>
  <cols>
    <col min="1" max="1" width="51.140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22" customWidth="1"/>
    <col min="6" max="6" width="2.7109375" style="24" customWidth="1"/>
  </cols>
  <sheetData>
    <row r="1" spans="1:5" ht="12.75">
      <c r="A1" s="2"/>
      <c r="B1" s="3"/>
      <c r="C1" s="4"/>
      <c r="D1" s="75"/>
      <c r="E1" s="76"/>
    </row>
    <row r="2" spans="1:6" ht="12.75">
      <c r="A2" s="41" t="s">
        <v>43</v>
      </c>
      <c r="B2" s="42"/>
      <c r="C2" s="56"/>
      <c r="D2" s="59"/>
      <c r="E2" s="69" t="s">
        <v>110</v>
      </c>
      <c r="F2" s="57"/>
    </row>
    <row r="3" spans="1:6" ht="12.75">
      <c r="A3" s="2" t="s">
        <v>36</v>
      </c>
      <c r="B3" s="5">
        <v>1</v>
      </c>
      <c r="C3" s="6"/>
      <c r="D3" s="60"/>
      <c r="E3" s="63" t="s">
        <v>55</v>
      </c>
      <c r="F3" s="57"/>
    </row>
    <row r="4" spans="1:6" ht="12.75">
      <c r="A4" s="2" t="s">
        <v>42</v>
      </c>
      <c r="B4" s="5">
        <v>2</v>
      </c>
      <c r="C4" s="6"/>
      <c r="D4" s="60"/>
      <c r="E4" s="85"/>
      <c r="F4" s="57"/>
    </row>
    <row r="5" spans="1:6" ht="12.75">
      <c r="A5" s="2" t="s">
        <v>73</v>
      </c>
      <c r="B5" s="5">
        <v>0</v>
      </c>
      <c r="C5" s="4"/>
      <c r="D5" s="60"/>
      <c r="E5" s="64"/>
      <c r="F5" s="57"/>
    </row>
    <row r="6" spans="1:6" ht="12.75">
      <c r="A6" s="2"/>
      <c r="B6" s="5"/>
      <c r="C6" s="4"/>
      <c r="D6" s="60"/>
      <c r="E6" s="58" t="s">
        <v>59</v>
      </c>
      <c r="F6" s="57"/>
    </row>
    <row r="7" spans="1:6" ht="12.75">
      <c r="A7" s="2"/>
      <c r="B7" s="5"/>
      <c r="C7" s="4"/>
      <c r="D7" s="60"/>
      <c r="E7" s="65" t="s">
        <v>60</v>
      </c>
      <c r="F7" s="57"/>
    </row>
    <row r="8" spans="1:6" ht="12.75">
      <c r="A8" s="23" t="s">
        <v>44</v>
      </c>
      <c r="B8" s="43">
        <v>2500</v>
      </c>
      <c r="C8" s="8" t="s">
        <v>35</v>
      </c>
      <c r="D8" s="60"/>
      <c r="E8" s="58" t="s">
        <v>61</v>
      </c>
      <c r="F8" s="57"/>
    </row>
    <row r="9" spans="1:6" ht="12.75">
      <c r="A9" s="53" t="s">
        <v>57</v>
      </c>
      <c r="B9" s="54">
        <f>Berechnung!B4/100</f>
        <v>2500</v>
      </c>
      <c r="C9" s="8"/>
      <c r="D9" s="60"/>
      <c r="E9" s="58" t="s">
        <v>62</v>
      </c>
      <c r="F9" s="57"/>
    </row>
    <row r="10" spans="1:6" ht="12.75">
      <c r="A10" s="36" t="s">
        <v>26</v>
      </c>
      <c r="B10" s="37">
        <f>Berechnung!B5</f>
        <v>286.16</v>
      </c>
      <c r="C10" s="38" t="s">
        <v>35</v>
      </c>
      <c r="D10" s="60"/>
      <c r="E10" s="58" t="s">
        <v>109</v>
      </c>
      <c r="F10" s="57"/>
    </row>
    <row r="11" spans="1:6" ht="12.75">
      <c r="A11" s="36" t="s">
        <v>27</v>
      </c>
      <c r="B11" s="39">
        <f>Berechnung!B6</f>
        <v>15.73</v>
      </c>
      <c r="C11" s="8" t="s">
        <v>35</v>
      </c>
      <c r="D11" s="60"/>
      <c r="E11" s="64" t="s">
        <v>63</v>
      </c>
      <c r="F11" s="57"/>
    </row>
    <row r="12" spans="1:6" ht="12.75">
      <c r="A12" s="36" t="s">
        <v>54</v>
      </c>
      <c r="B12" s="39">
        <f>MIN(Berechnung!B4,Parameter!F10)*0.002</f>
        <v>500</v>
      </c>
      <c r="C12" s="8" t="s">
        <v>35</v>
      </c>
      <c r="D12" s="60"/>
      <c r="E12" s="64" t="s">
        <v>64</v>
      </c>
      <c r="F12" s="57"/>
    </row>
    <row r="13" spans="1:6" ht="12.75">
      <c r="A13" s="48" t="s">
        <v>81</v>
      </c>
      <c r="B13" s="49">
        <f>Berechnung!B10</f>
        <v>1698.11</v>
      </c>
      <c r="C13" s="47" t="s">
        <v>35</v>
      </c>
      <c r="D13" s="60"/>
      <c r="E13" s="66"/>
      <c r="F13" s="57"/>
    </row>
    <row r="14" spans="1:6" ht="12.75">
      <c r="A14" s="34" t="s">
        <v>53</v>
      </c>
      <c r="B14" s="83">
        <f>IF(B4=1,0.67,0.6)</f>
        <v>0.6</v>
      </c>
      <c r="C14" s="8"/>
      <c r="D14" s="60"/>
      <c r="E14" s="64" t="s">
        <v>65</v>
      </c>
      <c r="F14" s="57"/>
    </row>
    <row r="15" spans="1:6" ht="12.75">
      <c r="A15" s="86" t="s">
        <v>80</v>
      </c>
      <c r="B15" s="40">
        <f>ROUND(B13*B14,2)</f>
        <v>1018.87</v>
      </c>
      <c r="C15" s="44" t="s">
        <v>35</v>
      </c>
      <c r="D15" s="60"/>
      <c r="E15" s="64" t="s">
        <v>69</v>
      </c>
      <c r="F15" s="57"/>
    </row>
    <row r="16" spans="1:6" ht="12.75">
      <c r="A16" s="20"/>
      <c r="B16" s="5"/>
      <c r="C16" s="4"/>
      <c r="D16" s="60"/>
      <c r="E16" s="64" t="s">
        <v>70</v>
      </c>
      <c r="F16" s="57"/>
    </row>
    <row r="17" spans="1:6" ht="12.75">
      <c r="A17" s="23" t="s">
        <v>45</v>
      </c>
      <c r="B17" s="43">
        <v>1500</v>
      </c>
      <c r="C17" s="8" t="s">
        <v>35</v>
      </c>
      <c r="D17" s="61"/>
      <c r="E17" s="66"/>
      <c r="F17" s="57"/>
    </row>
    <row r="18" spans="1:6" ht="12.75">
      <c r="A18" s="53" t="s">
        <v>57</v>
      </c>
      <c r="B18" s="54">
        <f>Berechnung!B15/100</f>
        <v>1500</v>
      </c>
      <c r="C18" s="8"/>
      <c r="D18" s="61"/>
      <c r="E18" s="64" t="s">
        <v>71</v>
      </c>
      <c r="F18" s="57"/>
    </row>
    <row r="19" spans="1:6" ht="12.75">
      <c r="A19" s="36" t="s">
        <v>26</v>
      </c>
      <c r="B19" s="37">
        <f>Berechnung!B16</f>
        <v>65.41</v>
      </c>
      <c r="C19" s="38" t="s">
        <v>35</v>
      </c>
      <c r="D19" s="61"/>
      <c r="E19" s="58" t="s">
        <v>72</v>
      </c>
      <c r="F19" s="57"/>
    </row>
    <row r="20" spans="1:6" ht="12.75">
      <c r="A20" s="36" t="s">
        <v>27</v>
      </c>
      <c r="B20" s="39">
        <f>Berechnung!B17</f>
        <v>0</v>
      </c>
      <c r="C20" s="8" t="s">
        <v>35</v>
      </c>
      <c r="D20" s="62"/>
      <c r="E20" s="64"/>
      <c r="F20" s="57"/>
    </row>
    <row r="21" spans="1:6" ht="12.75">
      <c r="A21" s="36" t="s">
        <v>54</v>
      </c>
      <c r="B21" s="39">
        <f>IF(B18&lt;325.01,0,MIN(Berechnung!B15,Parameter!F10)*0.2/100)</f>
        <v>300</v>
      </c>
      <c r="C21" s="8" t="s">
        <v>35</v>
      </c>
      <c r="D21" s="62"/>
      <c r="E21" s="64"/>
      <c r="F21" s="57"/>
    </row>
    <row r="22" spans="1:6" ht="12.75">
      <c r="A22" s="48" t="s">
        <v>79</v>
      </c>
      <c r="B22" s="49">
        <f>Berechnung!B21</f>
        <v>1134.5900000000001</v>
      </c>
      <c r="C22" s="47" t="s">
        <v>35</v>
      </c>
      <c r="D22" s="62"/>
      <c r="E22" s="88"/>
      <c r="F22" s="57"/>
    </row>
    <row r="23" spans="1:6" ht="12.75">
      <c r="A23" s="34" t="s">
        <v>53</v>
      </c>
      <c r="B23" s="83">
        <f>IF(B4=1,0.67,0.6)</f>
        <v>0.6</v>
      </c>
      <c r="C23" s="8"/>
      <c r="D23" s="62"/>
      <c r="E23" s="64"/>
      <c r="F23" s="57"/>
    </row>
    <row r="24" spans="1:6" ht="12.75">
      <c r="A24" s="86" t="s">
        <v>80</v>
      </c>
      <c r="B24" s="40">
        <f>ROUND(B22*B23,2)</f>
        <v>680.75</v>
      </c>
      <c r="C24" s="44" t="s">
        <v>35</v>
      </c>
      <c r="D24" s="62"/>
      <c r="E24" s="58" t="s">
        <v>67</v>
      </c>
      <c r="F24" s="57"/>
    </row>
    <row r="25" spans="1:6" ht="12.75">
      <c r="A25" s="30"/>
      <c r="B25" s="31"/>
      <c r="C25" s="7"/>
      <c r="D25" s="61"/>
      <c r="E25" s="67" t="s">
        <v>56</v>
      </c>
      <c r="F25" s="57"/>
    </row>
    <row r="26" spans="1:6" ht="12.75">
      <c r="A26" s="50" t="s">
        <v>66</v>
      </c>
      <c r="B26" s="51">
        <f>IF(B15-B24&gt;0,B15-B24,0)</f>
        <v>338.12</v>
      </c>
      <c r="C26" s="52" t="s">
        <v>35</v>
      </c>
      <c r="D26" s="61"/>
      <c r="E26" s="68"/>
      <c r="F26" s="57"/>
    </row>
    <row r="27" spans="1:6" ht="13.5" thickBot="1">
      <c r="A27" s="34"/>
      <c r="B27" s="35"/>
      <c r="C27" s="72"/>
      <c r="D27" s="73"/>
      <c r="E27" s="84" t="s">
        <v>112</v>
      </c>
      <c r="F27" s="74"/>
    </row>
    <row r="28" spans="1:6" ht="12.75">
      <c r="A28" s="138" t="s">
        <v>68</v>
      </c>
      <c r="B28" s="138"/>
      <c r="C28" s="70" t="s">
        <v>84</v>
      </c>
      <c r="D28" s="70"/>
      <c r="E28" s="70"/>
      <c r="F28" s="71"/>
    </row>
    <row r="29" spans="1:6" ht="12.75">
      <c r="A29" s="140" t="s">
        <v>82</v>
      </c>
      <c r="B29" s="141"/>
      <c r="C29" s="139" t="s">
        <v>83</v>
      </c>
      <c r="D29" s="139"/>
      <c r="E29" s="139"/>
      <c r="F29" s="71"/>
    </row>
    <row r="30" spans="1:5" ht="12.75">
      <c r="A30" s="28"/>
      <c r="B30" s="137"/>
      <c r="C30" s="137"/>
      <c r="D30" s="137"/>
      <c r="E30" s="137"/>
    </row>
    <row r="31" spans="1:5" ht="12.75">
      <c r="A31" s="32"/>
      <c r="B31" s="77"/>
      <c r="C31" s="33"/>
      <c r="D31" s="29"/>
      <c r="E31" s="78"/>
    </row>
    <row r="32" spans="1:5" ht="12.75">
      <c r="A32" s="136"/>
      <c r="B32" s="136"/>
      <c r="C32" s="25"/>
      <c r="D32" s="25"/>
      <c r="E32" s="79"/>
    </row>
    <row r="33" spans="1:5" ht="12.75">
      <c r="A33" s="26"/>
      <c r="B33" s="27"/>
      <c r="C33" s="27"/>
      <c r="D33" s="27"/>
      <c r="E33" s="27"/>
    </row>
    <row r="34" spans="1:5" ht="12.75">
      <c r="A34" s="28"/>
      <c r="B34" s="137"/>
      <c r="C34" s="137"/>
      <c r="D34" s="137"/>
      <c r="E34" s="137"/>
    </row>
  </sheetData>
  <sheetProtection/>
  <mergeCells count="6">
    <mergeCell ref="A32:B32"/>
    <mergeCell ref="B34:E34"/>
    <mergeCell ref="A28:B28"/>
    <mergeCell ref="B30:E30"/>
    <mergeCell ref="C29:E29"/>
    <mergeCell ref="A29:B29"/>
  </mergeCells>
  <conditionalFormatting sqref="B16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7">
      <formula1>0</formula1>
      <formula2>1</formula2>
    </dataValidation>
    <dataValidation type="whole" allowBlank="1" showInputMessage="1" showErrorMessage="1" sqref="B16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5:E35" r:id="rId1" display="http://www.parmentier.de/steuer/lohnsteuer2007.xls"/>
    <hyperlink ref="E25" r:id="rId2" display="http://www.lohn-info.de/kurzarbeitergeld.html"/>
    <hyperlink ref="C28:E28" r:id="rId3" display="http://www.parmentier.de/steuer/steuer01.htm"/>
    <hyperlink ref="C29:E29" r:id="rId4" display="parmentier.ffm@t-online.de"/>
    <hyperlink ref="C29" r:id="rId5" display="steuer@parmentier.de"/>
    <hyperlink ref="C28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B21" sqref="B21"/>
    </sheetView>
  </sheetViews>
  <sheetFormatPr defaultColWidth="10.7109375" defaultRowHeight="12.75"/>
  <cols>
    <col min="1" max="1" width="15.00390625" style="1" customWidth="1"/>
    <col min="2" max="3" width="11.28125" style="1" customWidth="1"/>
    <col min="4" max="4" width="12.00390625" style="1" customWidth="1"/>
    <col min="5" max="5" width="14.00390625" style="1" customWidth="1"/>
    <col min="6" max="6" width="11.28125" style="1" customWidth="1"/>
    <col min="7" max="7" width="12.00390625" style="1" customWidth="1"/>
    <col min="8" max="8" width="14.00390625" style="1" customWidth="1"/>
    <col min="9" max="16384" width="10.7109375" style="1" customWidth="1"/>
  </cols>
  <sheetData>
    <row r="1" spans="1:8" ht="12.75">
      <c r="A1" s="19" t="s">
        <v>105</v>
      </c>
      <c r="B1" s="45"/>
      <c r="D1" s="19" t="s">
        <v>58</v>
      </c>
      <c r="E1" s="19" t="s">
        <v>76</v>
      </c>
      <c r="G1" s="19" t="s">
        <v>58</v>
      </c>
      <c r="H1" s="19" t="s">
        <v>77</v>
      </c>
    </row>
    <row r="2" spans="4:8" ht="12.75">
      <c r="D2" s="1" t="s">
        <v>41</v>
      </c>
      <c r="E2" s="13">
        <f>B4*12</f>
        <v>3000000</v>
      </c>
      <c r="G2" s="1" t="s">
        <v>41</v>
      </c>
      <c r="H2" s="13">
        <f>B15*12</f>
        <v>1800000</v>
      </c>
    </row>
    <row r="3" spans="1:8" ht="12.75">
      <c r="A3" s="46" t="s">
        <v>51</v>
      </c>
      <c r="B3" s="81">
        <f>ROUNDDOWN((Eingabe!B8*100+1000)/2000,0)*2000</f>
        <v>250000</v>
      </c>
      <c r="D3" s="1" t="s">
        <v>0</v>
      </c>
      <c r="E3" s="14">
        <f>Eingabe!B3</f>
        <v>1</v>
      </c>
      <c r="G3" s="1" t="s">
        <v>0</v>
      </c>
      <c r="H3" s="14">
        <f>E3</f>
        <v>1</v>
      </c>
    </row>
    <row r="4" spans="1:8" ht="12.75">
      <c r="A4" s="1" t="s">
        <v>46</v>
      </c>
      <c r="B4" s="82">
        <f>IF(B3&gt;IF(Eingabe!B5=0,Parameter!F10,Parameter!F11),IF(Eingabe!B5=0,Parameter!F10,Parameter!F11),B3)</f>
        <v>250000</v>
      </c>
      <c r="D4" s="1" t="s">
        <v>78</v>
      </c>
      <c r="E4" s="21">
        <f>IF(E2&gt;IF(Eingabe!B5=0,Parameter!F10,Parameter!F11),IF(Eingabe!B5=0,Parameter!F10,Parameter!F11),E2)</f>
        <v>690000</v>
      </c>
      <c r="G4" s="1" t="s">
        <v>78</v>
      </c>
      <c r="H4" s="21">
        <f>IF(H2&gt;IF(Eingabe!B5=0,Parameter!F10,Parameter!F11),IF(Eingabe!B5=0,Parameter!F10,Parameter!F11),H2)</f>
        <v>690000</v>
      </c>
    </row>
    <row r="5" spans="1:2" ht="12.75">
      <c r="A5" s="1" t="s">
        <v>58</v>
      </c>
      <c r="B5" s="1">
        <f>E53/100</f>
        <v>286.16</v>
      </c>
    </row>
    <row r="6" spans="1:8" ht="12.75">
      <c r="A6" s="1" t="s">
        <v>48</v>
      </c>
      <c r="B6" s="18">
        <f>E63/100</f>
        <v>15.73</v>
      </c>
      <c r="D6" s="9" t="s">
        <v>2</v>
      </c>
      <c r="E6" s="10"/>
      <c r="G6" s="9" t="s">
        <v>2</v>
      </c>
      <c r="H6" s="10"/>
    </row>
    <row r="7" spans="1:8" ht="12.75">
      <c r="A7" s="1" t="s">
        <v>47</v>
      </c>
      <c r="B7" s="18">
        <f>B5+B6</f>
        <v>301.89000000000004</v>
      </c>
      <c r="D7" s="1" t="s">
        <v>3</v>
      </c>
      <c r="E7" s="15">
        <f>E2/100</f>
        <v>30000</v>
      </c>
      <c r="G7" s="1" t="s">
        <v>3</v>
      </c>
      <c r="H7" s="15">
        <f>H2/100</f>
        <v>18000</v>
      </c>
    </row>
    <row r="8" spans="1:8" ht="12.75">
      <c r="A8" s="1" t="s">
        <v>49</v>
      </c>
      <c r="B8" s="1">
        <v>0.2</v>
      </c>
      <c r="D8" s="1" t="s">
        <v>25</v>
      </c>
      <c r="E8" s="15">
        <f>MIN(E2/100,E4*12)</f>
        <v>30000</v>
      </c>
      <c r="G8" s="1" t="s">
        <v>25</v>
      </c>
      <c r="H8" s="15">
        <f>H2/100</f>
        <v>18000</v>
      </c>
    </row>
    <row r="9" spans="1:8" ht="12.75">
      <c r="A9" s="1" t="s">
        <v>47</v>
      </c>
      <c r="B9" s="18">
        <f>ROUNDDOWN(MIN(B4,Parameter!F10)*B8/100,2)+B7</f>
        <v>801.8900000000001</v>
      </c>
      <c r="E9" s="18"/>
      <c r="H9" s="18"/>
    </row>
    <row r="10" spans="1:8" ht="12.75">
      <c r="A10" s="10" t="s">
        <v>50</v>
      </c>
      <c r="B10" s="55">
        <f>MIN(B4/100,Parameter!F10/100)-B9</f>
        <v>1698.11</v>
      </c>
      <c r="D10" s="9" t="s">
        <v>4</v>
      </c>
      <c r="E10" s="10"/>
      <c r="G10" s="9" t="s">
        <v>4</v>
      </c>
      <c r="H10" s="10"/>
    </row>
    <row r="11" spans="4:8" ht="12.75">
      <c r="D11" s="1" t="s">
        <v>5</v>
      </c>
      <c r="E11" s="1">
        <f>IF(E3=3,2,1)</f>
        <v>1</v>
      </c>
      <c r="G11" s="1" t="s">
        <v>5</v>
      </c>
      <c r="H11" s="1">
        <f>IF(H3=3,2,1)</f>
        <v>1</v>
      </c>
    </row>
    <row r="12" spans="4:8" ht="12.75">
      <c r="D12" s="1" t="s">
        <v>6</v>
      </c>
      <c r="E12" s="132">
        <f>Parameter!F20</f>
        <v>1000</v>
      </c>
      <c r="G12" s="1" t="s">
        <v>6</v>
      </c>
      <c r="H12" s="132">
        <f>Parameter!F20</f>
        <v>1000</v>
      </c>
    </row>
    <row r="13" spans="4:8" ht="12.75">
      <c r="D13" s="1" t="s">
        <v>29</v>
      </c>
      <c r="E13" s="1">
        <f>IF(E3=2,Parameter!F21,0)</f>
        <v>0</v>
      </c>
      <c r="G13" s="1" t="s">
        <v>29</v>
      </c>
      <c r="H13" s="1">
        <f>IF(H3=2,Parameter!F21,0)</f>
        <v>0</v>
      </c>
    </row>
    <row r="14" spans="1:8" ht="12.75">
      <c r="A14" s="10" t="s">
        <v>52</v>
      </c>
      <c r="B14" s="13">
        <f>ROUNDDOWN((Eingabe!B17*100+1000)/2000,0)*2000</f>
        <v>150000</v>
      </c>
      <c r="D14" s="1" t="s">
        <v>7</v>
      </c>
      <c r="E14" s="1">
        <f>IF(E3&gt;5,0,Parameter!F22)</f>
        <v>36</v>
      </c>
      <c r="G14" s="1" t="s">
        <v>7</v>
      </c>
      <c r="H14" s="1">
        <f>IF(H3&gt;5,0,Parameter!F22)</f>
        <v>36</v>
      </c>
    </row>
    <row r="15" spans="1:8" ht="12.75">
      <c r="A15" s="1" t="s">
        <v>46</v>
      </c>
      <c r="B15" s="1">
        <f>IF(B14&gt;IF(Eingabe!B5=0,Parameter!F10,Parameter!F11),IF(Eingabe!B5=0,Parameter!F10,Parameter!F11),B14)</f>
        <v>150000</v>
      </c>
      <c r="D15" s="1" t="s">
        <v>8</v>
      </c>
      <c r="E15" s="1">
        <f>IF(E3=6,0,E12+E13+E14)</f>
        <v>1036</v>
      </c>
      <c r="G15" s="1" t="s">
        <v>8</v>
      </c>
      <c r="H15" s="1">
        <f>IF(H3=6,0,H12+H13+H14)</f>
        <v>1036</v>
      </c>
    </row>
    <row r="16" spans="1:2" ht="12.75">
      <c r="A16" s="1" t="s">
        <v>58</v>
      </c>
      <c r="B16" s="1">
        <f>H53/100</f>
        <v>65.41</v>
      </c>
    </row>
    <row r="17" spans="1:8" ht="12.75">
      <c r="A17" s="1" t="s">
        <v>48</v>
      </c>
      <c r="B17" s="1">
        <f>H63/100</f>
        <v>0</v>
      </c>
      <c r="D17" s="9" t="s">
        <v>30</v>
      </c>
      <c r="E17" s="11"/>
      <c r="F17" s="17"/>
      <c r="G17" s="9" t="s">
        <v>30</v>
      </c>
      <c r="H17" s="11"/>
    </row>
    <row r="18" spans="1:8" ht="12.75">
      <c r="A18" s="1" t="s">
        <v>47</v>
      </c>
      <c r="B18" s="1">
        <f>B16+B17</f>
        <v>65.41</v>
      </c>
      <c r="D18" s="1" t="s">
        <v>25</v>
      </c>
      <c r="E18" s="18">
        <f>MIN(E4*0.12,E8)</f>
        <v>30000</v>
      </c>
      <c r="G18" s="1" t="s">
        <v>25</v>
      </c>
      <c r="H18" s="18">
        <f>MIN(H4*0.12,H8)</f>
        <v>18000</v>
      </c>
    </row>
    <row r="19" spans="1:8" ht="12.75">
      <c r="A19" s="1" t="s">
        <v>49</v>
      </c>
      <c r="B19" s="1">
        <f>0.2</f>
        <v>0.2</v>
      </c>
      <c r="D19" s="1" t="s">
        <v>31</v>
      </c>
      <c r="E19" s="18">
        <f>Parameter!F14*E18*Parameter!F5/2</f>
        <v>2232</v>
      </c>
      <c r="G19" s="1" t="s">
        <v>31</v>
      </c>
      <c r="H19" s="18">
        <f>Parameter!F14*H18*Parameter!F5/2</f>
        <v>1339.2</v>
      </c>
    </row>
    <row r="20" spans="1:8" ht="12.75">
      <c r="A20" s="1" t="s">
        <v>47</v>
      </c>
      <c r="B20" s="1">
        <f>ROUNDDOWN(MIN(B15,Parameter!F10)*B8/100,2)+B18</f>
        <v>365.40999999999997</v>
      </c>
      <c r="D20" s="16" t="s">
        <v>33</v>
      </c>
      <c r="E20" s="18">
        <f>IF(E11=1,Parameter!F23,Parameter!F24)</f>
        <v>1900</v>
      </c>
      <c r="G20" s="16" t="s">
        <v>33</v>
      </c>
      <c r="H20" s="18">
        <f>IF(H11=1,Parameter!F23,Parameter!F24)</f>
        <v>1900</v>
      </c>
    </row>
    <row r="21" spans="1:8" ht="12.75">
      <c r="A21" s="10" t="s">
        <v>50</v>
      </c>
      <c r="B21" s="55">
        <f>B15/100-B20</f>
        <v>1134.5900000000001</v>
      </c>
      <c r="D21" s="16" t="s">
        <v>32</v>
      </c>
      <c r="E21" s="18">
        <f>MIN(E20,0.12*E18)</f>
        <v>1900</v>
      </c>
      <c r="G21" s="16" t="s">
        <v>32</v>
      </c>
      <c r="H21" s="18">
        <f>MIN(H20,0.12*H18)</f>
        <v>1900</v>
      </c>
    </row>
    <row r="22" spans="4:8" ht="12.75">
      <c r="D22" s="89" t="s">
        <v>107</v>
      </c>
      <c r="E22" s="80">
        <f>Parameter!G4+Parameter!G6</f>
        <v>0.09075000000000001</v>
      </c>
      <c r="G22" s="89" t="s">
        <v>107</v>
      </c>
      <c r="H22" s="80">
        <f>Parameter!G4+Parameter!G6</f>
        <v>0.09075000000000001</v>
      </c>
    </row>
    <row r="23" spans="4:8" ht="12.75">
      <c r="D23" s="16" t="s">
        <v>74</v>
      </c>
      <c r="E23" s="18">
        <f>MIN(E7,Parameter!F12)*E22</f>
        <v>2722.5000000000005</v>
      </c>
      <c r="G23" s="16" t="s">
        <v>74</v>
      </c>
      <c r="H23" s="18">
        <f>MIN(H7,Parameter!F12)*H22</f>
        <v>1633.5000000000002</v>
      </c>
    </row>
    <row r="24" spans="4:8" ht="12.75">
      <c r="D24" s="16" t="s">
        <v>75</v>
      </c>
      <c r="E24" s="18">
        <f>IF(E23&gt;E20,E23,E21)</f>
        <v>2722.5000000000005</v>
      </c>
      <c r="G24" s="16" t="s">
        <v>75</v>
      </c>
      <c r="H24" s="18">
        <f>IF(H23&gt;H20,H23,H21)</f>
        <v>1900</v>
      </c>
    </row>
    <row r="25" spans="4:8" ht="12.75">
      <c r="D25" s="16" t="s">
        <v>34</v>
      </c>
      <c r="E25" s="18">
        <f>ROUNDUP(E19+E24,0)</f>
        <v>4955</v>
      </c>
      <c r="G25" s="16" t="s">
        <v>34</v>
      </c>
      <c r="H25" s="18">
        <f>ROUNDUP(H19+H24,0)</f>
        <v>3240</v>
      </c>
    </row>
    <row r="26" spans="4:8" ht="12.75">
      <c r="D26" s="16"/>
      <c r="E26" s="18"/>
      <c r="G26" s="16"/>
      <c r="H26" s="18"/>
    </row>
    <row r="27" spans="4:8" ht="12.75">
      <c r="D27" s="9" t="s">
        <v>20</v>
      </c>
      <c r="E27" s="10"/>
      <c r="G27" s="9" t="s">
        <v>20</v>
      </c>
      <c r="H27" s="10"/>
    </row>
    <row r="28" spans="4:8" ht="12.75">
      <c r="D28" s="1" t="s">
        <v>9</v>
      </c>
      <c r="E28" s="15">
        <f>ROUNDDOWN(E7-E15-E25,0)</f>
        <v>24009</v>
      </c>
      <c r="G28" s="1" t="s">
        <v>9</v>
      </c>
      <c r="H28" s="15">
        <f>ROUNDDOWN(H7-H15-H25,0)</f>
        <v>13724</v>
      </c>
    </row>
    <row r="29" spans="4:8" ht="12.75">
      <c r="D29" s="1" t="s">
        <v>15</v>
      </c>
      <c r="E29" s="15">
        <f>MAX(0,ROUNDDOWN(E28/E11,0))</f>
        <v>24009</v>
      </c>
      <c r="G29" s="1" t="s">
        <v>15</v>
      </c>
      <c r="H29" s="15">
        <f>MAX(0,ROUNDDOWN(H28/H11,0))</f>
        <v>13724</v>
      </c>
    </row>
    <row r="31" spans="4:8" ht="12.75">
      <c r="D31" s="9" t="s">
        <v>106</v>
      </c>
      <c r="E31" s="10"/>
      <c r="G31" s="9" t="s">
        <v>106</v>
      </c>
      <c r="H31" s="10"/>
    </row>
    <row r="32" spans="4:8" ht="12.75">
      <c r="D32" s="1" t="s">
        <v>11</v>
      </c>
      <c r="E32" s="1">
        <f>IF(E29&lt;=Parameter!F18,0,IF(E29&lt;=Parameter!F28,INT((Parameter!F34*(E29-Parameter!F18)/10000+Parameter!F35)*(E29-Parameter!F18)/10000),IF(E29&lt;=Parameter!F29,INT((Parameter!F31*(E29-Parameter!F28)/10000+Parameter!F32)*(E29-Parameter!F28)/10000+Parameter!F33),IF(E29&lt;=Parameter!F30,INT(E29*Parameter!F25-Parameter!F36),INT(E29*Parameter!F26-Parameter!F37)))))*E11</f>
        <v>3434</v>
      </c>
      <c r="G32" s="1" t="s">
        <v>11</v>
      </c>
      <c r="H32" s="1">
        <f>IF(H29&lt;=Parameter!F18,0,IF(H29&lt;=Parameter!F28,INT((Parameter!F34*(H29-Parameter!F18)/10000+Parameter!F35)*(H29-Parameter!F18)/10000),IF(H29&lt;=Parameter!F29,INT((Parameter!F31*(H29-Parameter!F28)/10000+Parameter!F32)*(H29-Parameter!F28)/10000+Parameter!F33),IF(H29&lt;=Parameter!F30,INT(H29*Parameter!F25-Parameter!F36),INT(H29*Parameter!F26-Parameter!F37)))))*H11</f>
        <v>785</v>
      </c>
    </row>
    <row r="33" spans="4:7" ht="12.75">
      <c r="D33" s="12"/>
      <c r="G33" s="12"/>
    </row>
    <row r="34" spans="4:8" ht="12.75">
      <c r="D34" s="9" t="s">
        <v>14</v>
      </c>
      <c r="E34" s="10"/>
      <c r="G34" s="9" t="s">
        <v>14</v>
      </c>
      <c r="H34" s="10"/>
    </row>
    <row r="35" spans="5:8" ht="12.75">
      <c r="E35" s="15"/>
      <c r="H35" s="15"/>
    </row>
    <row r="36" spans="4:8" ht="12.75">
      <c r="D36" s="1" t="s">
        <v>10</v>
      </c>
      <c r="E36" s="15">
        <f>MIN(Parameter!F16,E29)*1.25</f>
        <v>30011.25</v>
      </c>
      <c r="G36" s="1" t="s">
        <v>10</v>
      </c>
      <c r="H36" s="15">
        <f>MIN(Parameter!F16,H29)*1.25</f>
        <v>17155</v>
      </c>
    </row>
    <row r="37" spans="4:8" ht="12.75">
      <c r="D37" s="1" t="s">
        <v>16</v>
      </c>
      <c r="E37" s="1">
        <f>IF(E36&lt;=Parameter!F18,0,IF(E36&lt;=Parameter!F28,INT((Parameter!F34*(E36-Parameter!F18)/10000+Parameter!F35)*(E36-Parameter!F18)/10000),IF(E36&lt;=Parameter!F29,INT((Parameter!F31*(E36-Parameter!F28)/10000+Parameter!F32)*(E36-Parameter!F28)/10000+Parameter!F33),IF(E36&lt;=Parameter!F30,INT(E36*Parameter!F25-Parameter!F36),INT(E36*Parameter!F26-Parameter!F37)))))</f>
        <v>5191</v>
      </c>
      <c r="G37" s="1" t="s">
        <v>16</v>
      </c>
      <c r="H37" s="1">
        <f>IF(H36&lt;=Parameter!F18,0,IF(H36&lt;=Parameter!F28,INT((Parameter!F34*(H36-Parameter!F18)/10000+Parameter!F35)*(H36-Parameter!F18)/10000),IF(H36&lt;=Parameter!F29,INT((Parameter!F31*(H36-Parameter!F28)/10000+Parameter!F32)*(H36-Parameter!F28)/10000+Parameter!F33),IF(H36&lt;=Parameter!F30,INT(H36*Parameter!F25-Parameter!F36),INT(H36*Parameter!F26-Parameter!F37)))))</f>
        <v>1616</v>
      </c>
    </row>
    <row r="38" spans="4:8" ht="12.75">
      <c r="D38" s="1" t="s">
        <v>10</v>
      </c>
      <c r="E38" s="15">
        <f>MIN(Parameter!F16,E29)*0.75</f>
        <v>18006.75</v>
      </c>
      <c r="G38" s="1" t="s">
        <v>10</v>
      </c>
      <c r="H38" s="15">
        <f>MIN(Parameter!F16,H29)*0.75</f>
        <v>10293</v>
      </c>
    </row>
    <row r="39" spans="4:8" ht="12.75">
      <c r="D39" s="1" t="s">
        <v>17</v>
      </c>
      <c r="E39" s="1">
        <f>IF(E38&lt;=Parameter!F18,0,IF(E38&lt;=Parameter!F28,INT((Parameter!F34*(E38-Parameter!F18)/10000+Parameter!F35)*(E38-Parameter!F18)/10000),IF(E38&lt;=Parameter!F29,INT((Parameter!F31*(E38-Parameter!F28)/10000+Parameter!F32)*(E38-Parameter!F28)/10000+Parameter!F33),IF(E38&lt;=Parameter!F30,INT(E38*Parameter!F25-Parameter!F36),INT(E38*Parameter!F26-Parameter!F37)))))</f>
        <v>1831</v>
      </c>
      <c r="G39" s="1" t="s">
        <v>17</v>
      </c>
      <c r="H39" s="1">
        <f>IF(H38&lt;=Parameter!F18,0,IF(H38&lt;=Parameter!F28,INT((Parameter!F34*(H38-Parameter!F18)/10000+Parameter!F35)*(H38-Parameter!F18)/10000),IF(H38&lt;=Parameter!F29,INT((Parameter!F31*(H38-Parameter!F28)/10000+Parameter!F32)*(H38-Parameter!F28)/10000+Parameter!F33),IF(H38&lt;=Parameter!F30,INT(H38*Parameter!F25-Parameter!F36),INT(H38*Parameter!F26-Parameter!F37)))))</f>
        <v>131</v>
      </c>
    </row>
    <row r="40" spans="4:8" ht="12.75">
      <c r="D40" s="1" t="s">
        <v>18</v>
      </c>
      <c r="E40" s="15">
        <f>(E37-E39)*2</f>
        <v>6720</v>
      </c>
      <c r="G40" s="1" t="s">
        <v>18</v>
      </c>
      <c r="H40" s="15">
        <f>(H37-H39)*2</f>
        <v>2970</v>
      </c>
    </row>
    <row r="41" spans="4:8" ht="12.75">
      <c r="D41" s="1" t="s">
        <v>19</v>
      </c>
      <c r="E41" s="1">
        <f>ROUNDDOWN(MIN(E29,Parameter!F16)*0.14,0)</f>
        <v>3361</v>
      </c>
      <c r="G41" s="1" t="s">
        <v>19</v>
      </c>
      <c r="H41" s="1">
        <f>ROUNDDOWN(MIN(H29,Parameter!F16)*0.14,0)</f>
        <v>1921</v>
      </c>
    </row>
    <row r="42" spans="4:8" ht="12.75">
      <c r="D42" s="1" t="s">
        <v>11</v>
      </c>
      <c r="E42" s="15">
        <f>MAX(E40,E41)</f>
        <v>6720</v>
      </c>
      <c r="G42" s="1" t="s">
        <v>11</v>
      </c>
      <c r="H42" s="15">
        <f>MAX(H40,H41)</f>
        <v>2970</v>
      </c>
    </row>
    <row r="43" spans="4:8" ht="12.75">
      <c r="D43" s="1" t="s">
        <v>11</v>
      </c>
      <c r="E43" s="15">
        <f>IF(E29&gt;Parameter!F17,(Parameter!F17-Parameter!F16)*Parameter!F25+E42,ROUNDDOWN(MAX(E29-Parameter!F16,0)*Parameter!F25+E42,0))</f>
        <v>6720</v>
      </c>
      <c r="G43" s="1" t="s">
        <v>11</v>
      </c>
      <c r="H43" s="15">
        <f>IF(H29&gt;Parameter!F17,(Parameter!F17-Parameter!F16)*Parameter!F25+H42,ROUNDDOWN(MAX(H29-Parameter!F16,0)*Parameter!F25+H42,0))</f>
        <v>2970</v>
      </c>
    </row>
    <row r="44" spans="4:8" ht="12.75">
      <c r="D44" s="1" t="s">
        <v>39</v>
      </c>
      <c r="E44" s="1">
        <f>IF(AND(E29&gt;Parameter!F15,E29&lt;=Parameter!F16),E42,0)</f>
        <v>6720</v>
      </c>
      <c r="G44" s="1" t="s">
        <v>39</v>
      </c>
      <c r="H44" s="1">
        <f>IF(AND(H29&gt;Parameter!F15,H29&lt;=Parameter!F16),H42,0)</f>
        <v>2970</v>
      </c>
    </row>
    <row r="45" spans="4:10" ht="12.75">
      <c r="D45" s="1" t="s">
        <v>11</v>
      </c>
      <c r="E45" s="15">
        <f>ROUNDDOWN(Parameter!F15*0.14,0)</f>
        <v>1525</v>
      </c>
      <c r="G45" s="1" t="s">
        <v>11</v>
      </c>
      <c r="H45" s="15">
        <f>ROUNDDOWN(Parameter!F15*0.14,0)</f>
        <v>1525</v>
      </c>
      <c r="J45" s="87"/>
    </row>
    <row r="46" spans="4:8" ht="12.75">
      <c r="D46" s="1" t="s">
        <v>11</v>
      </c>
      <c r="E46" s="15">
        <f>MIN(ROUNDDOWN(MAX(E29-Parameter!F15,0)*Parameter!F25+E45,0),E43)</f>
        <v>6720</v>
      </c>
      <c r="G46" s="1" t="s">
        <v>11</v>
      </c>
      <c r="H46" s="15">
        <f>MIN(ROUNDDOWN(MAX(H29-Parameter!F15,0)*Parameter!F25+H45,0),H43)</f>
        <v>2711</v>
      </c>
    </row>
    <row r="47" spans="4:8" ht="12.75">
      <c r="D47" s="1" t="s">
        <v>40</v>
      </c>
      <c r="E47" s="15">
        <f>ROUNDDOWN(MAX(E29-Parameter!F17,0)*Parameter!F26+E46,0)</f>
        <v>6720</v>
      </c>
      <c r="G47" s="1" t="s">
        <v>40</v>
      </c>
      <c r="H47" s="15">
        <f>ROUNDDOWN(MAX(H29-Parameter!F17,0)*Parameter!F26+H46,0)</f>
        <v>2711</v>
      </c>
    </row>
    <row r="48" spans="4:8" ht="12.75">
      <c r="D48" s="1" t="s">
        <v>12</v>
      </c>
      <c r="E48" s="1">
        <f>IF(E3&lt;5,E32,E47)</f>
        <v>3434</v>
      </c>
      <c r="G48" s="1" t="s">
        <v>12</v>
      </c>
      <c r="H48" s="1">
        <f>IF(H3&lt;5,H32,H47)</f>
        <v>785</v>
      </c>
    </row>
    <row r="49" spans="4:8" ht="12.75">
      <c r="D49" s="1" t="s">
        <v>1</v>
      </c>
      <c r="E49" s="1">
        <f>E48*100</f>
        <v>343400</v>
      </c>
      <c r="G49" s="1" t="s">
        <v>1</v>
      </c>
      <c r="H49" s="1">
        <f>H48*100</f>
        <v>78500</v>
      </c>
    </row>
    <row r="51" spans="4:8" ht="12.75">
      <c r="D51" s="9" t="s">
        <v>38</v>
      </c>
      <c r="E51" s="10"/>
      <c r="G51" s="9" t="s">
        <v>38</v>
      </c>
      <c r="H51" s="10"/>
    </row>
    <row r="53" spans="4:8" ht="12.75">
      <c r="D53" s="1" t="s">
        <v>28</v>
      </c>
      <c r="E53" s="1">
        <f>ROUNDDOWN(E49/12,0)</f>
        <v>28616</v>
      </c>
      <c r="G53" s="1" t="s">
        <v>28</v>
      </c>
      <c r="H53" s="1">
        <f>ROUNDDOWN(H49/12,0)</f>
        <v>6541</v>
      </c>
    </row>
    <row r="55" spans="4:8" ht="12.75">
      <c r="D55" s="9" t="s">
        <v>21</v>
      </c>
      <c r="E55" s="10"/>
      <c r="G55" s="9" t="s">
        <v>21</v>
      </c>
      <c r="H55" s="10"/>
    </row>
    <row r="56" spans="4:8" ht="12.75">
      <c r="D56" s="1" t="s">
        <v>22</v>
      </c>
      <c r="E56" s="1">
        <f>Parameter!F19*E11</f>
        <v>972</v>
      </c>
      <c r="G56" s="1" t="s">
        <v>22</v>
      </c>
      <c r="H56" s="1">
        <f>Parameter!F19*H11</f>
        <v>972</v>
      </c>
    </row>
    <row r="57" spans="4:8" ht="12.75">
      <c r="D57" s="1" t="s">
        <v>23</v>
      </c>
      <c r="E57" s="18">
        <f>ROUNDDOWN((E48*Parameter!F27)/100,2)</f>
        <v>188.87</v>
      </c>
      <c r="G57" s="1" t="s">
        <v>23</v>
      </c>
      <c r="H57" s="18">
        <f>ROUNDDOWN((H48*Parameter!F27)/100,2)</f>
        <v>43.17</v>
      </c>
    </row>
    <row r="58" spans="4:8" ht="12.75">
      <c r="D58" s="1" t="s">
        <v>24</v>
      </c>
      <c r="E58" s="18">
        <f>((E48-E56)*20)/100</f>
        <v>492.4</v>
      </c>
      <c r="G58" s="1" t="s">
        <v>24</v>
      </c>
      <c r="H58" s="18">
        <f>((H48-H56)*20)/100</f>
        <v>-37.4</v>
      </c>
    </row>
    <row r="59" spans="4:8" ht="12.75">
      <c r="D59" s="1" t="s">
        <v>23</v>
      </c>
      <c r="E59" s="18">
        <f>MIN(E58,E57)</f>
        <v>188.87</v>
      </c>
      <c r="G59" s="1" t="s">
        <v>23</v>
      </c>
      <c r="H59" s="18">
        <f>MIN(H58,H57)</f>
        <v>-37.4</v>
      </c>
    </row>
    <row r="60" spans="4:8" ht="12.75">
      <c r="D60" s="1" t="s">
        <v>1</v>
      </c>
      <c r="E60" s="1">
        <f>E59*100</f>
        <v>18887</v>
      </c>
      <c r="G60" s="1" t="s">
        <v>1</v>
      </c>
      <c r="H60" s="1">
        <f>H59*100</f>
        <v>-3740</v>
      </c>
    </row>
    <row r="62" spans="4:8" ht="12.75">
      <c r="D62" s="9" t="s">
        <v>37</v>
      </c>
      <c r="E62" s="10"/>
      <c r="G62" s="9" t="s">
        <v>37</v>
      </c>
      <c r="H62" s="10"/>
    </row>
    <row r="63" spans="4:8" ht="12.75">
      <c r="D63" s="1" t="s">
        <v>13</v>
      </c>
      <c r="E63" s="1">
        <f>MAX(ROUNDDOWN(E60/12,0),0)</f>
        <v>1573</v>
      </c>
      <c r="G63" s="1" t="s">
        <v>13</v>
      </c>
      <c r="H63" s="1">
        <f>MAX(ROUNDDOWN(H60/12,0),0)</f>
        <v>0</v>
      </c>
    </row>
    <row r="67" spans="4:7" ht="12.75">
      <c r="D67" s="12"/>
      <c r="G67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G37"/>
  <sheetViews>
    <sheetView zoomScalePageLayoutView="0" workbookViewId="0" topLeftCell="A1">
      <selection activeCell="F37" sqref="F37"/>
    </sheetView>
  </sheetViews>
  <sheetFormatPr defaultColWidth="11.421875" defaultRowHeight="12.75"/>
  <cols>
    <col min="5" max="5" width="18.421875" style="0" bestFit="1" customWidth="1"/>
    <col min="6" max="6" width="10.8515625" style="0" bestFit="1" customWidth="1"/>
  </cols>
  <sheetData>
    <row r="1" spans="5:7" ht="18">
      <c r="E1" s="90" t="str">
        <f>"SOZ-VS-BEITRAGSSÄTZE  "&amp;BearbJahr</f>
        <v>SOZ-VS-BEITRAGSSÄTZE  </v>
      </c>
      <c r="F1" s="91"/>
      <c r="G1" s="92"/>
    </row>
    <row r="2" spans="5:7" ht="15" thickBot="1">
      <c r="E2" s="93" t="s">
        <v>85</v>
      </c>
      <c r="F2" s="94" t="s">
        <v>86</v>
      </c>
      <c r="G2" s="95" t="s">
        <v>87</v>
      </c>
    </row>
    <row r="3" spans="5:7" ht="12.75">
      <c r="E3" s="96" t="s">
        <v>88</v>
      </c>
      <c r="F3" s="97">
        <v>0.146</v>
      </c>
      <c r="G3" s="98"/>
    </row>
    <row r="4" spans="5:7" ht="12.75">
      <c r="E4" s="99" t="s">
        <v>89</v>
      </c>
      <c r="F4" s="100">
        <v>0.011</v>
      </c>
      <c r="G4" s="98">
        <f>F4/2+0.07</f>
        <v>0.07550000000000001</v>
      </c>
    </row>
    <row r="5" spans="5:7" ht="12.75">
      <c r="E5" s="96" t="s">
        <v>90</v>
      </c>
      <c r="F5" s="101">
        <v>0.186</v>
      </c>
      <c r="G5" s="98">
        <f>F5/2</f>
        <v>0.093</v>
      </c>
    </row>
    <row r="6" spans="5:7" ht="12.75">
      <c r="E6" s="99" t="s">
        <v>91</v>
      </c>
      <c r="F6" s="100">
        <v>0.0305</v>
      </c>
      <c r="G6" s="98">
        <v>0.01525</v>
      </c>
    </row>
    <row r="7" spans="5:7" ht="12.75">
      <c r="E7" s="102"/>
      <c r="F7" s="102"/>
      <c r="G7" s="102"/>
    </row>
    <row r="8" spans="5:7" ht="16.5">
      <c r="E8" s="103" t="s">
        <v>92</v>
      </c>
      <c r="F8" s="104"/>
      <c r="G8" s="105"/>
    </row>
    <row r="9" spans="5:7" ht="15" thickBot="1">
      <c r="E9" s="106" t="s">
        <v>93</v>
      </c>
      <c r="F9" s="107" t="s">
        <v>94</v>
      </c>
      <c r="G9" s="106" t="s">
        <v>95</v>
      </c>
    </row>
    <row r="10" spans="5:7" ht="13.5" thickTop="1">
      <c r="E10" s="96" t="s">
        <v>78</v>
      </c>
      <c r="F10" s="108">
        <v>690000</v>
      </c>
      <c r="G10" s="109" t="s">
        <v>96</v>
      </c>
    </row>
    <row r="11" spans="5:7" ht="12.75">
      <c r="E11" s="96" t="s">
        <v>78</v>
      </c>
      <c r="F11" s="110">
        <v>645000</v>
      </c>
      <c r="G11" s="111"/>
    </row>
    <row r="12" spans="5:7" ht="12.75">
      <c r="E12" s="96" t="s">
        <v>108</v>
      </c>
      <c r="F12" s="110">
        <v>56250</v>
      </c>
      <c r="G12" s="111"/>
    </row>
    <row r="13" spans="5:7" ht="12.75">
      <c r="E13" s="99" t="s">
        <v>97</v>
      </c>
      <c r="F13" s="112">
        <v>0.0755</v>
      </c>
      <c r="G13" s="111"/>
    </row>
    <row r="14" spans="5:7" ht="12.75">
      <c r="E14" s="113" t="s">
        <v>98</v>
      </c>
      <c r="F14" s="114">
        <v>0.8</v>
      </c>
      <c r="G14" s="111"/>
    </row>
    <row r="15" spans="5:7" ht="12.75">
      <c r="E15" s="115" t="s">
        <v>99</v>
      </c>
      <c r="F15" s="116">
        <v>10898</v>
      </c>
      <c r="G15" s="111"/>
    </row>
    <row r="16" spans="5:7" ht="12.75">
      <c r="E16" s="115" t="s">
        <v>100</v>
      </c>
      <c r="F16" s="116">
        <v>28526</v>
      </c>
      <c r="G16" s="111"/>
    </row>
    <row r="17" spans="5:7" ht="12.75">
      <c r="E17" s="115" t="s">
        <v>101</v>
      </c>
      <c r="F17" s="116">
        <v>216400</v>
      </c>
      <c r="G17" s="111"/>
    </row>
    <row r="18" spans="5:7" ht="12.75">
      <c r="E18" s="115" t="s">
        <v>102</v>
      </c>
      <c r="F18" s="116">
        <v>9408</v>
      </c>
      <c r="G18" s="111"/>
    </row>
    <row r="19" spans="5:7" ht="13.5" thickBot="1">
      <c r="E19" s="117" t="s">
        <v>22</v>
      </c>
      <c r="F19" s="118">
        <v>972</v>
      </c>
      <c r="G19" s="119"/>
    </row>
    <row r="20" spans="5:7" ht="13.5" thickTop="1">
      <c r="E20" s="99" t="s">
        <v>6</v>
      </c>
      <c r="F20" s="120">
        <v>1000</v>
      </c>
      <c r="G20" s="121" t="s">
        <v>4</v>
      </c>
    </row>
    <row r="21" spans="5:7" ht="12.75">
      <c r="E21" s="99" t="s">
        <v>29</v>
      </c>
      <c r="F21" s="110">
        <v>1908</v>
      </c>
      <c r="G21" s="111"/>
    </row>
    <row r="22" spans="5:7" ht="13.5" thickBot="1">
      <c r="E22" s="133" t="s">
        <v>7</v>
      </c>
      <c r="F22" s="134">
        <v>36</v>
      </c>
      <c r="G22" s="135"/>
    </row>
    <row r="23" spans="5:7" ht="12.75">
      <c r="E23" s="96" t="s">
        <v>103</v>
      </c>
      <c r="F23" s="124">
        <v>1900</v>
      </c>
      <c r="G23" s="125" t="s">
        <v>30</v>
      </c>
    </row>
    <row r="24" spans="5:7" ht="13.5" thickBot="1">
      <c r="E24" s="122" t="s">
        <v>103</v>
      </c>
      <c r="F24" s="123">
        <v>3000</v>
      </c>
      <c r="G24" s="119"/>
    </row>
    <row r="25" spans="5:7" ht="13.5" thickTop="1">
      <c r="E25" s="126"/>
      <c r="F25" s="127">
        <v>0.42</v>
      </c>
      <c r="G25" s="109" t="s">
        <v>14</v>
      </c>
    </row>
    <row r="26" spans="5:7" ht="13.5" thickBot="1">
      <c r="E26" s="119"/>
      <c r="F26" s="118">
        <v>0.45</v>
      </c>
      <c r="G26" s="119"/>
    </row>
    <row r="27" spans="5:7" ht="15" thickBot="1" thickTop="1">
      <c r="E27" s="119" t="s">
        <v>104</v>
      </c>
      <c r="F27" s="128">
        <v>5.5</v>
      </c>
      <c r="G27" s="129" t="s">
        <v>21</v>
      </c>
    </row>
    <row r="28" spans="5:7" ht="13.5" thickTop="1">
      <c r="E28" s="111"/>
      <c r="F28" s="116">
        <v>14532</v>
      </c>
      <c r="G28" s="125" t="s">
        <v>111</v>
      </c>
    </row>
    <row r="29" spans="5:7" ht="12.75">
      <c r="E29" s="111"/>
      <c r="F29" s="116">
        <v>57051</v>
      </c>
      <c r="G29" s="111"/>
    </row>
    <row r="30" spans="5:7" ht="12.75">
      <c r="E30" s="111"/>
      <c r="F30" s="116">
        <v>270500</v>
      </c>
      <c r="G30" s="111"/>
    </row>
    <row r="31" spans="5:7" ht="12.75">
      <c r="E31" s="111"/>
      <c r="F31" s="130">
        <v>212.02</v>
      </c>
      <c r="G31" s="111"/>
    </row>
    <row r="32" spans="5:7" ht="12.75">
      <c r="E32" s="111"/>
      <c r="F32" s="116">
        <v>2397</v>
      </c>
      <c r="G32" s="111"/>
    </row>
    <row r="33" spans="5:7" ht="12.75">
      <c r="E33" s="111"/>
      <c r="F33" s="130">
        <v>972.87</v>
      </c>
      <c r="G33" s="111"/>
    </row>
    <row r="34" spans="5:7" ht="12.75">
      <c r="E34" s="111"/>
      <c r="F34" s="130">
        <v>972.79</v>
      </c>
      <c r="G34" s="111"/>
    </row>
    <row r="35" spans="5:7" ht="12.75">
      <c r="E35" s="111"/>
      <c r="F35" s="116">
        <v>1400</v>
      </c>
      <c r="G35" s="111"/>
    </row>
    <row r="36" spans="5:7" ht="12.75">
      <c r="E36" s="111"/>
      <c r="F36" s="130">
        <v>8963.74</v>
      </c>
      <c r="G36" s="111"/>
    </row>
    <row r="37" spans="5:7" ht="12.75">
      <c r="E37" s="131"/>
      <c r="F37" s="130">
        <v>17078.74</v>
      </c>
      <c r="G37" s="131"/>
    </row>
  </sheetData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http://www.parmentier.de/steuer/kurzarbeitergeld2009.xls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Leistungsätze bei Kurzarbeitergeld 2013</dc:title>
  <dc:subject>Berechnung mit Zellfunktionen</dc:subject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2020-02-01T21:33:10Z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