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23" yWindow="458" windowWidth="16718" windowHeight="20543" activeTab="0"/>
  </bookViews>
  <sheets>
    <sheet name="Eingabe" sheetId="1" r:id="rId1"/>
    <sheet name="Berechnung" sheetId="2" r:id="rId2"/>
    <sheet name="Parameter" sheetId="3" r:id="rId3"/>
  </sheets>
  <definedNames>
    <definedName name="BearbJahr">'Parameter'!$B$1</definedName>
  </definedNames>
  <calcPr fullCalcOnLoad="1"/>
</workbook>
</file>

<file path=xl/comments3.xml><?xml version="1.0" encoding="utf-8"?>
<comments xmlns="http://schemas.openxmlformats.org/spreadsheetml/2006/main">
  <authors>
    <author>Herbert Grom</author>
  </authors>
  <commentList>
    <comment ref="F14" authorId="0">
      <text>
        <r>
          <rPr>
            <sz val="10"/>
            <color indexed="8"/>
            <rFont val="Arial"/>
            <family val="2"/>
          </rPr>
          <t xml:space="preserve">Basis 2015 ist 0,60. 
</t>
        </r>
        <r>
          <rPr>
            <sz val="10"/>
            <color indexed="8"/>
            <rFont val="Arial"/>
            <family val="2"/>
          </rPr>
          <t>Jedes folgende Jahr + 0,04</t>
        </r>
      </text>
    </comment>
  </commentList>
</comments>
</file>

<file path=xl/sharedStrings.xml><?xml version="1.0" encoding="utf-8"?>
<sst xmlns="http://schemas.openxmlformats.org/spreadsheetml/2006/main" count="212" uniqueCount="114">
  <si>
    <t>STKL</t>
  </si>
  <si>
    <t>JW</t>
  </si>
  <si>
    <t>MRE4</t>
  </si>
  <si>
    <t>ZRE4</t>
  </si>
  <si>
    <t>MZTABFB</t>
  </si>
  <si>
    <t>KZTAB</t>
  </si>
  <si>
    <t>ANP</t>
  </si>
  <si>
    <t>SAP</t>
  </si>
  <si>
    <t>ZTABFB</t>
  </si>
  <si>
    <t>ZVE</t>
  </si>
  <si>
    <t>X</t>
  </si>
  <si>
    <t>ST</t>
  </si>
  <si>
    <t>LSTJAHR</t>
  </si>
  <si>
    <t>ANTEIL1</t>
  </si>
  <si>
    <t>MST5-6</t>
  </si>
  <si>
    <t>ZZX</t>
  </si>
  <si>
    <t>ST1</t>
  </si>
  <si>
    <t>ST2</t>
  </si>
  <si>
    <t>DIFF</t>
  </si>
  <si>
    <t>MIST</t>
  </si>
  <si>
    <t>UMVSP</t>
  </si>
  <si>
    <t>MSOLZ</t>
  </si>
  <si>
    <t>SOLZFREI</t>
  </si>
  <si>
    <t>SOLZJ</t>
  </si>
  <si>
    <t>SOLZMIN</t>
  </si>
  <si>
    <t>ZRE4VP</t>
  </si>
  <si>
    <t>Lohnsteuer</t>
  </si>
  <si>
    <t>Solidaritätszuschlag</t>
  </si>
  <si>
    <t>LSTLZZ</t>
  </si>
  <si>
    <t>EFA</t>
  </si>
  <si>
    <t>UPEVP</t>
  </si>
  <si>
    <t>VSP1</t>
  </si>
  <si>
    <t>VSP2</t>
  </si>
  <si>
    <t>VHB</t>
  </si>
  <si>
    <t>VSPN</t>
  </si>
  <si>
    <t>€</t>
  </si>
  <si>
    <t>Steuerklasse 1 - 6</t>
  </si>
  <si>
    <t>SOLZ</t>
  </si>
  <si>
    <t>MLSTJAHR</t>
  </si>
  <si>
    <t>VERGL</t>
  </si>
  <si>
    <t>MIT REICHST</t>
  </si>
  <si>
    <t>ZRE4J</t>
  </si>
  <si>
    <t>allgemeine Angaben</t>
  </si>
  <si>
    <r>
      <t>zustehendes</t>
    </r>
    <r>
      <rPr>
        <b/>
        <sz val="10"/>
        <rFont val="Arial"/>
        <family val="2"/>
      </rPr>
      <t xml:space="preserve"> monatliches Bruttoarbeits(</t>
    </r>
    <r>
      <rPr>
        <b/>
        <sz val="10"/>
        <color indexed="10"/>
        <rFont val="Arial"/>
        <family val="2"/>
      </rPr>
      <t>soll</t>
    </r>
    <r>
      <rPr>
        <b/>
        <sz val="10"/>
        <rFont val="Arial"/>
        <family val="2"/>
      </rPr>
      <t>)entgelt</t>
    </r>
  </si>
  <si>
    <r>
      <t>erhaltenes</t>
    </r>
    <r>
      <rPr>
        <b/>
        <sz val="10"/>
        <rFont val="Arial"/>
        <family val="2"/>
      </rPr>
      <t xml:space="preserve"> monatliches Bruttoarbeits(</t>
    </r>
    <r>
      <rPr>
        <b/>
        <sz val="10"/>
        <color indexed="10"/>
        <rFont val="Arial"/>
        <family val="2"/>
      </rPr>
      <t>ist</t>
    </r>
    <r>
      <rPr>
        <b/>
        <sz val="10"/>
        <rFont val="Arial"/>
        <family val="2"/>
      </rPr>
      <t>)entgelt</t>
    </r>
  </si>
  <si>
    <t>&gt; BBGR ?</t>
  </si>
  <si>
    <t>ABZ</t>
  </si>
  <si>
    <t>SOLZU</t>
  </si>
  <si>
    <t>SozP</t>
  </si>
  <si>
    <t>NETENT</t>
  </si>
  <si>
    <t>GLOHN (SOLL)</t>
  </si>
  <si>
    <t>GLOHN (IST)</t>
  </si>
  <si>
    <t>x Leistungssatz</t>
  </si>
  <si>
    <t>Sozialversicherungspauschale</t>
  </si>
  <si>
    <t>entsprechend dem Programmablauplan des Bundesmin. für Arbeit u.Soziales</t>
  </si>
  <si>
    <t>http://www.lohn-info.de/kurzarbeitergeld.html</t>
  </si>
  <si>
    <t>auf durch 20 teilbaren Betrag gerundet</t>
  </si>
  <si>
    <t>LST</t>
  </si>
  <si>
    <t xml:space="preserve">Zur Ermitteln des pauschalierten Nettoentgeltes wird das Bruttoent- </t>
  </si>
  <si>
    <t>gelt auf einen durch 20 teilbaren Betrag gerundet, mit der RV-Be-</t>
  </si>
  <si>
    <t>messungsgrenze verglichen (=berücksichtigbar), davon die Lohn-</t>
  </si>
  <si>
    <t>steuer und der SolZu ermitteln sowie die Sozialversicherungspau-</t>
  </si>
  <si>
    <t>rundeten Brutto abgezogen und mit dem Leistungsatz multipliziert</t>
  </si>
  <si>
    <t>(ohne Kind(er) = 60%, mit = 67%).</t>
  </si>
  <si>
    <t>Das zustehende Kurzarbeitergeld ist die Differenz zwischen dem</t>
  </si>
  <si>
    <t>Differenz = Kurzarbeitergeld (KUG)</t>
  </si>
  <si>
    <t>Infos zum Kurzarbeitergeld:</t>
  </si>
  <si>
    <t xml:space="preserve">        Weitere Lohn- und Einkommensteuerberechnungsprogramme unter</t>
  </si>
  <si>
    <t>pauschalierten monatlich zustehenden (Soll)Nettoentgelt und dem</t>
  </si>
  <si>
    <t>auf Grund der Kurzarbeit erhaltenen pauschalierten (Ist)Nettoentgelt.</t>
  </si>
  <si>
    <t>Geringverdiener (unter 325 € monatlich) nicht berücksichtigt.</t>
  </si>
  <si>
    <t>Sozialversicherung f. KUG bezahlt dann allein der Arbeitgeber</t>
  </si>
  <si>
    <t>Arbeitsstelle in Ostdeutschland nein=0, ja=1</t>
  </si>
  <si>
    <t>KV</t>
  </si>
  <si>
    <t>KV&gt;VHB?</t>
  </si>
  <si>
    <t>für SOLL</t>
  </si>
  <si>
    <t>Für IST</t>
  </si>
  <si>
    <t>BBGR</t>
  </si>
  <si>
    <t>pauschaliertes Nettoentgelt</t>
  </si>
  <si>
    <t>rechnerischer Leistungssatz</t>
  </si>
  <si>
    <t>pauschaliertes Nettoentgelt = Brutto - ( LSt+Soli+SozP)</t>
  </si>
  <si>
    <t>Wolfgang† und Johannes Parmentier Frankfurt am Main e-Mail:</t>
  </si>
  <si>
    <t>steuer@parmentier.de</t>
  </si>
  <si>
    <t>http://www.parmentier.de/steuer/index.php</t>
  </si>
  <si>
    <t>Bezeichnung</t>
  </si>
  <si>
    <t>SATZ</t>
  </si>
  <si>
    <t>Berechnet</t>
  </si>
  <si>
    <t>KVSATZ</t>
  </si>
  <si>
    <t>KV_Zusatz</t>
  </si>
  <si>
    <t>RV_Satz</t>
  </si>
  <si>
    <t>PV_Satz</t>
  </si>
  <si>
    <t>BMF - PAP - ANGABEN</t>
  </si>
  <si>
    <t>Name</t>
  </si>
  <si>
    <t>WERT</t>
  </si>
  <si>
    <t>Bereich</t>
  </si>
  <si>
    <t>MPARA</t>
  </si>
  <si>
    <t>KVSATZAG</t>
  </si>
  <si>
    <t>TBSVORV</t>
  </si>
  <si>
    <t>W1STKL5</t>
  </si>
  <si>
    <t>W2STKL5</t>
  </si>
  <si>
    <t>W3STKL5</t>
  </si>
  <si>
    <t>GFB</t>
  </si>
  <si>
    <t>VHB / VSP2</t>
  </si>
  <si>
    <t>SOLI</t>
  </si>
  <si>
    <t>Kurzarbeitergeld</t>
  </si>
  <si>
    <t>UPTAB</t>
  </si>
  <si>
    <t>KVAN + PVAN</t>
  </si>
  <si>
    <t>KVGR</t>
  </si>
  <si>
    <t>schale (gerundetes Brutto x 20%). Die Summe davon wird vom ge-</t>
  </si>
  <si>
    <t>SOLZMIN F</t>
  </si>
  <si>
    <t>Leistungssatz (siehe Kommentar)</t>
  </si>
  <si>
    <t>Berechnung des Kurzarbeitgeldes nach dem SGB III für 2022</t>
  </si>
  <si>
    <t>UPTAB22</t>
  </si>
  <si>
    <t xml:space="preserve"> Stand 06.06.2022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</si>
</sst>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"/>
    <numFmt numFmtId="189" formatCode="0.00000"/>
    <numFmt numFmtId="190" formatCode="0.000000"/>
    <numFmt numFmtId="191" formatCode="0.000"/>
    <numFmt numFmtId="192" formatCode="#,##0_ ;\-#,##0\ "/>
    <numFmt numFmtId="193" formatCode="0_ ;\-0\ "/>
    <numFmt numFmtId="194" formatCode="&quot;Ja&quot;;&quot;Ja&quot;;&quot;Nein&quot;"/>
    <numFmt numFmtId="195" formatCode="&quot;Wahr&quot;;&quot;Wahr&quot;;&quot;Falsch&quot;"/>
    <numFmt numFmtId="196" formatCode="&quot;Ein&quot;;&quot;Ein&quot;;&quot;Aus&quot;"/>
    <numFmt numFmtId="197" formatCode="_-* #,##0.00\ [$€-1]_-;\-* #,##0.00\ [$€-1]_-;_-* &quot;-&quot;??\ [$€-1]_-"/>
    <numFmt numFmtId="198" formatCode="0.0000_ ;\-0.0000\ "/>
    <numFmt numFmtId="199" formatCode="0.000_ ;\-0.000\ "/>
    <numFmt numFmtId="200" formatCode="#,##0.000\ _€;\-#,##0.000\ _€"/>
    <numFmt numFmtId="201" formatCode="0.00_ ;\-0.00\ "/>
    <numFmt numFmtId="202" formatCode="0.0_ ;\-0.0\ "/>
    <numFmt numFmtId="203" formatCode="#,##0.00_ ;\-#,##0.00\ "/>
    <numFmt numFmtId="204" formatCode="0.00000_ ;\-0.00000\ "/>
    <numFmt numFmtId="205" formatCode="#,##0.0000_ ;\-#,##0.0000\ "/>
    <numFmt numFmtId="206" formatCode="#,##0.000\ &quot;€&quot;"/>
    <numFmt numFmtId="207" formatCode="0.000%"/>
  </numFmts>
  <fonts count="55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color indexed="58"/>
      <name val="Arial"/>
      <family val="2"/>
    </font>
    <font>
      <sz val="10"/>
      <color indexed="17"/>
      <name val="Arial"/>
      <family val="2"/>
    </font>
    <font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i/>
      <sz val="8"/>
      <name val="Arial"/>
      <family val="2"/>
    </font>
    <font>
      <sz val="10"/>
      <color indexed="60"/>
      <name val="Arial"/>
      <family val="2"/>
    </font>
    <font>
      <sz val="10"/>
      <color indexed="16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0"/>
      <color indexed="1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theme="6" tint="-0.24997000396251678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49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NumberFormat="1" applyBorder="1" applyAlignment="1">
      <alignment/>
    </xf>
    <xf numFmtId="197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2" fontId="0" fillId="33" borderId="0" xfId="0" applyNumberFormat="1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193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2" fontId="0" fillId="0" borderId="0" xfId="0" applyNumberFormat="1" applyFill="1" applyAlignment="1" applyProtection="1">
      <alignment/>
      <protection hidden="1"/>
    </xf>
    <xf numFmtId="0" fontId="1" fillId="34" borderId="0" xfId="0" applyFont="1" applyFill="1" applyAlignment="1" applyProtection="1">
      <alignment/>
      <protection hidden="1"/>
    </xf>
    <xf numFmtId="0" fontId="7" fillId="0" borderId="10" xfId="0" applyFont="1" applyBorder="1" applyAlignment="1">
      <alignment wrapText="1"/>
    </xf>
    <xf numFmtId="193" fontId="0" fillId="0" borderId="0" xfId="0" applyNumberFormat="1" applyFill="1" applyAlignment="1" applyProtection="1">
      <alignment horizontal="right"/>
      <protection hidden="1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51" applyFill="1" applyBorder="1" applyAlignment="1" applyProtection="1">
      <alignment/>
      <protection/>
    </xf>
    <xf numFmtId="0" fontId="8" fillId="0" borderId="0" xfId="0" applyFont="1" applyFill="1" applyBorder="1" applyAlignment="1">
      <alignment horizontal="center"/>
    </xf>
    <xf numFmtId="0" fontId="4" fillId="0" borderId="0" xfId="51" applyFill="1" applyBorder="1" applyAlignment="1" applyProtection="1">
      <alignment horizontal="left"/>
      <protection/>
    </xf>
    <xf numFmtId="0" fontId="0" fillId="0" borderId="0" xfId="0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203" fontId="0" fillId="0" borderId="0" xfId="63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203" fontId="0" fillId="0" borderId="10" xfId="63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203" fontId="0" fillId="0" borderId="11" xfId="63" applyNumberFormat="1" applyFont="1" applyFill="1" applyBorder="1" applyAlignment="1">
      <alignment/>
    </xf>
    <xf numFmtId="2" fontId="13" fillId="0" borderId="12" xfId="0" applyNumberFormat="1" applyFont="1" applyFill="1" applyBorder="1" applyAlignment="1">
      <alignment/>
    </xf>
    <xf numFmtId="0" fontId="1" fillId="34" borderId="13" xfId="0" applyFont="1" applyFill="1" applyBorder="1" applyAlignment="1">
      <alignment/>
    </xf>
    <xf numFmtId="2" fontId="1" fillId="34" borderId="12" xfId="0" applyNumberFormat="1" applyFont="1" applyFill="1" applyBorder="1" applyAlignment="1">
      <alignment wrapText="1"/>
    </xf>
    <xf numFmtId="2" fontId="1" fillId="35" borderId="11" xfId="0" applyNumberFormat="1" applyFont="1" applyFill="1" applyBorder="1" applyAlignment="1">
      <alignment wrapText="1"/>
    </xf>
    <xf numFmtId="0" fontId="11" fillId="0" borderId="14" xfId="0" applyFont="1" applyFill="1" applyBorder="1" applyAlignment="1">
      <alignment horizontal="center"/>
    </xf>
    <xf numFmtId="0" fontId="0" fillId="34" borderId="0" xfId="0" applyFill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16" fillId="0" borderId="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203" fontId="17" fillId="0" borderId="11" xfId="63" applyNumberFormat="1" applyFont="1" applyFill="1" applyBorder="1" applyAlignment="1">
      <alignment/>
    </xf>
    <xf numFmtId="0" fontId="1" fillId="0" borderId="0" xfId="0" applyFont="1" applyBorder="1" applyAlignment="1">
      <alignment/>
    </xf>
    <xf numFmtId="203" fontId="1" fillId="0" borderId="0" xfId="63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 wrapText="1"/>
    </xf>
    <xf numFmtId="201" fontId="0" fillId="0" borderId="0" xfId="0" applyNumberFormat="1" applyFill="1" applyAlignment="1" applyProtection="1">
      <alignment/>
      <protection hidden="1"/>
    </xf>
    <xf numFmtId="0" fontId="0" fillId="34" borderId="14" xfId="0" applyFill="1" applyBorder="1" applyAlignment="1">
      <alignment horizontal="center"/>
    </xf>
    <xf numFmtId="0" fontId="0" fillId="36" borderId="10" xfId="0" applyFill="1" applyBorder="1" applyAlignment="1">
      <alignment/>
    </xf>
    <xf numFmtId="0" fontId="0" fillId="36" borderId="0" xfId="0" applyFill="1" applyBorder="1" applyAlignment="1">
      <alignment/>
    </xf>
    <xf numFmtId="0" fontId="1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0" fontId="6" fillId="36" borderId="15" xfId="0" applyFont="1" applyFill="1" applyBorder="1" applyAlignment="1">
      <alignment/>
    </xf>
    <xf numFmtId="0" fontId="11" fillId="36" borderId="15" xfId="0" applyFont="1" applyFill="1" applyBorder="1" applyAlignment="1">
      <alignment/>
    </xf>
    <xf numFmtId="0" fontId="15" fillId="36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/>
    </xf>
    <xf numFmtId="0" fontId="0" fillId="36" borderId="0" xfId="51" applyFont="1" applyFill="1" applyBorder="1" applyAlignment="1" applyProtection="1">
      <alignment horizontal="left"/>
      <protection/>
    </xf>
    <xf numFmtId="0" fontId="3" fillId="36" borderId="0" xfId="0" applyFont="1" applyFill="1" applyBorder="1" applyAlignment="1">
      <alignment/>
    </xf>
    <xf numFmtId="0" fontId="4" fillId="36" borderId="0" xfId="51" applyFill="1" applyBorder="1" applyAlignment="1" applyProtection="1">
      <alignment horizontal="center"/>
      <protection/>
    </xf>
    <xf numFmtId="0" fontId="9" fillId="36" borderId="0" xfId="0" applyFont="1" applyFill="1" applyBorder="1" applyAlignment="1">
      <alignment/>
    </xf>
    <xf numFmtId="0" fontId="14" fillId="36" borderId="0" xfId="0" applyFont="1" applyFill="1" applyBorder="1" applyAlignment="1">
      <alignment horizontal="center"/>
    </xf>
    <xf numFmtId="0" fontId="4" fillId="34" borderId="0" xfId="51" applyFill="1" applyAlignment="1" applyProtection="1">
      <alignment/>
      <protection/>
    </xf>
    <xf numFmtId="0" fontId="0" fillId="34" borderId="0" xfId="0" applyFill="1" applyBorder="1" applyAlignment="1">
      <alignment/>
    </xf>
    <xf numFmtId="0" fontId="10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8" xfId="0" applyFill="1" applyBorder="1" applyAlignment="1">
      <alignment/>
    </xf>
    <xf numFmtId="0" fontId="1" fillId="36" borderId="0" xfId="0" applyFont="1" applyFill="1" applyBorder="1" applyAlignment="1">
      <alignment horizontal="center"/>
    </xf>
    <xf numFmtId="189" fontId="3" fillId="0" borderId="0" xfId="0" applyNumberFormat="1" applyFont="1" applyBorder="1" applyAlignment="1">
      <alignment/>
    </xf>
    <xf numFmtId="189" fontId="4" fillId="0" borderId="0" xfId="51" applyNumberFormat="1" applyFont="1" applyFill="1" applyBorder="1" applyAlignment="1" applyProtection="1">
      <alignment/>
      <protection/>
    </xf>
    <xf numFmtId="189" fontId="0" fillId="0" borderId="0" xfId="0" applyNumberFormat="1" applyBorder="1" applyAlignment="1">
      <alignment/>
    </xf>
    <xf numFmtId="189" fontId="0" fillId="0" borderId="0" xfId="0" applyNumberFormat="1" applyFill="1" applyAlignment="1" applyProtection="1">
      <alignment/>
      <protection hidden="1"/>
    </xf>
    <xf numFmtId="193" fontId="0" fillId="0" borderId="0" xfId="0" applyNumberFormat="1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hidden="1"/>
    </xf>
    <xf numFmtId="2" fontId="10" fillId="0" borderId="19" xfId="0" applyNumberFormat="1" applyFont="1" applyFill="1" applyBorder="1" applyAlignment="1">
      <alignment/>
    </xf>
    <xf numFmtId="14" fontId="15" fillId="36" borderId="17" xfId="51" applyNumberFormat="1" applyFont="1" applyFill="1" applyBorder="1" applyAlignment="1" applyProtection="1">
      <alignment horizontal="right"/>
      <protection/>
    </xf>
    <xf numFmtId="0" fontId="4" fillId="0" borderId="0" xfId="51" applyAlignment="1" applyProtection="1">
      <alignment horizontal="center"/>
      <protection/>
    </xf>
    <xf numFmtId="0" fontId="53" fillId="0" borderId="13" xfId="0" applyFont="1" applyFill="1" applyBorder="1" applyAlignment="1">
      <alignment/>
    </xf>
    <xf numFmtId="0" fontId="0" fillId="0" borderId="0" xfId="0" applyFill="1" applyAlignment="1" applyProtection="1" quotePrefix="1">
      <alignment/>
      <protection hidden="1"/>
    </xf>
    <xf numFmtId="10" fontId="0" fillId="36" borderId="0" xfId="0" applyNumberFormat="1" applyFont="1" applyFill="1" applyBorder="1" applyAlignment="1">
      <alignment horizontal="left"/>
    </xf>
    <xf numFmtId="0" fontId="0" fillId="0" borderId="0" xfId="0" applyFont="1" applyFill="1" applyAlignment="1" applyProtection="1">
      <alignment/>
      <protection hidden="1"/>
    </xf>
    <xf numFmtId="0" fontId="18" fillId="37" borderId="20" xfId="0" applyFont="1" applyFill="1" applyBorder="1" applyAlignment="1">
      <alignment horizontal="centerContinuous" vertical="center"/>
    </xf>
    <xf numFmtId="0" fontId="19" fillId="37" borderId="13" xfId="0" applyFont="1" applyFill="1" applyBorder="1" applyAlignment="1">
      <alignment horizontal="centerContinuous"/>
    </xf>
    <xf numFmtId="0" fontId="19" fillId="37" borderId="12" xfId="0" applyFont="1" applyFill="1" applyBorder="1" applyAlignment="1">
      <alignment horizontal="centerContinuous"/>
    </xf>
    <xf numFmtId="0" fontId="20" fillId="37" borderId="21" xfId="0" applyFont="1" applyFill="1" applyBorder="1" applyAlignment="1">
      <alignment/>
    </xf>
    <xf numFmtId="0" fontId="20" fillId="37" borderId="22" xfId="0" applyFont="1" applyFill="1" applyBorder="1" applyAlignment="1">
      <alignment horizontal="center"/>
    </xf>
    <xf numFmtId="0" fontId="20" fillId="37" borderId="21" xfId="0" applyFont="1" applyFill="1" applyBorder="1" applyAlignment="1">
      <alignment horizontal="right"/>
    </xf>
    <xf numFmtId="0" fontId="0" fillId="0" borderId="19" xfId="56" applyFont="1" applyFill="1" applyBorder="1" applyAlignment="1">
      <alignment vertical="center"/>
      <protection/>
    </xf>
    <xf numFmtId="207" fontId="0" fillId="38" borderId="13" xfId="56" applyNumberFormat="1" applyFont="1" applyFill="1" applyBorder="1" applyAlignment="1">
      <alignment horizontal="right" vertical="center" indent="1"/>
      <protection/>
    </xf>
    <xf numFmtId="207" fontId="0" fillId="39" borderId="13" xfId="56" applyNumberFormat="1" applyFont="1" applyFill="1" applyBorder="1" applyAlignment="1">
      <alignment horizontal="right" vertical="center" indent="1"/>
      <protection/>
    </xf>
    <xf numFmtId="0" fontId="0" fillId="0" borderId="12" xfId="56" applyFont="1" applyFill="1" applyBorder="1" applyAlignment="1">
      <alignment vertical="center"/>
      <protection/>
    </xf>
    <xf numFmtId="10" fontId="0" fillId="38" borderId="12" xfId="56" applyNumberFormat="1" applyFont="1" applyFill="1" applyBorder="1" applyAlignment="1">
      <alignment horizontal="right" vertical="center" indent="1"/>
      <protection/>
    </xf>
    <xf numFmtId="10" fontId="0" fillId="38" borderId="19" xfId="56" applyNumberFormat="1" applyFont="1" applyFill="1" applyBorder="1" applyAlignment="1">
      <alignment horizontal="right" vertical="center" indent="1"/>
      <protection/>
    </xf>
    <xf numFmtId="0" fontId="0" fillId="0" borderId="0" xfId="0" applyFont="1" applyAlignment="1">
      <alignment/>
    </xf>
    <xf numFmtId="0" fontId="18" fillId="37" borderId="20" xfId="56" applyFont="1" applyFill="1" applyBorder="1" applyAlignment="1" applyProtection="1">
      <alignment horizontal="centerContinuous"/>
      <protection hidden="1"/>
    </xf>
    <xf numFmtId="0" fontId="21" fillId="37" borderId="14" xfId="56" applyFont="1" applyFill="1" applyBorder="1" applyAlignment="1" applyProtection="1">
      <alignment horizontal="centerContinuous"/>
      <protection hidden="1"/>
    </xf>
    <xf numFmtId="0" fontId="21" fillId="37" borderId="13" xfId="56" applyFont="1" applyFill="1" applyBorder="1" applyAlignment="1" applyProtection="1">
      <alignment horizontal="centerContinuous"/>
      <protection hidden="1"/>
    </xf>
    <xf numFmtId="0" fontId="20" fillId="37" borderId="23" xfId="56" applyFont="1" applyFill="1" applyBorder="1" applyAlignment="1" applyProtection="1">
      <alignment/>
      <protection hidden="1"/>
    </xf>
    <xf numFmtId="0" fontId="20" fillId="37" borderId="23" xfId="0" applyFont="1" applyFill="1" applyBorder="1" applyAlignment="1">
      <alignment horizontal="center"/>
    </xf>
    <xf numFmtId="3" fontId="0" fillId="38" borderId="19" xfId="56" applyNumberFormat="1" applyFont="1" applyFill="1" applyBorder="1" applyAlignment="1" applyProtection="1">
      <alignment horizontal="right" indent="1"/>
      <protection hidden="1"/>
    </xf>
    <xf numFmtId="0" fontId="1" fillId="0" borderId="24" xfId="56" applyFont="1" applyFill="1" applyBorder="1" applyAlignment="1">
      <alignment/>
      <protection/>
    </xf>
    <xf numFmtId="3" fontId="0" fillId="38" borderId="12" xfId="56" applyNumberFormat="1" applyFont="1" applyFill="1" applyBorder="1" applyAlignment="1" applyProtection="1">
      <alignment horizontal="right" indent="1"/>
      <protection hidden="1"/>
    </xf>
    <xf numFmtId="0" fontId="0" fillId="0" borderId="11" xfId="56" applyFont="1" applyFill="1" applyBorder="1" applyAlignment="1">
      <alignment/>
      <protection/>
    </xf>
    <xf numFmtId="189" fontId="0" fillId="38" borderId="12" xfId="56" applyNumberFormat="1" applyFont="1" applyFill="1" applyBorder="1" applyAlignment="1">
      <alignment horizontal="right" vertical="center" indent="1"/>
      <protection/>
    </xf>
    <xf numFmtId="0" fontId="0" fillId="0" borderId="25" xfId="56" applyFont="1" applyFill="1" applyBorder="1" applyAlignment="1">
      <alignment vertical="center"/>
      <protection/>
    </xf>
    <xf numFmtId="0" fontId="0" fillId="0" borderId="12" xfId="56" applyFont="1" applyFill="1" applyBorder="1" applyAlignment="1">
      <alignment/>
      <protection/>
    </xf>
    <xf numFmtId="0" fontId="0" fillId="0" borderId="23" xfId="56" applyFont="1" applyFill="1" applyBorder="1" applyAlignment="1">
      <alignment/>
      <protection/>
    </xf>
    <xf numFmtId="4" fontId="0" fillId="38" borderId="23" xfId="56" applyNumberFormat="1" applyFont="1" applyFill="1" applyBorder="1" applyAlignment="1" applyProtection="1">
      <alignment horizontal="right" vertical="center" indent="1"/>
      <protection hidden="1"/>
    </xf>
    <xf numFmtId="0" fontId="0" fillId="0" borderId="26" xfId="56" applyFont="1" applyFill="1" applyBorder="1" applyAlignment="1">
      <alignment/>
      <protection/>
    </xf>
    <xf numFmtId="0" fontId="1" fillId="0" borderId="11" xfId="56" applyFont="1" applyFill="1" applyBorder="1" applyAlignment="1">
      <alignment vertical="center"/>
      <protection/>
    </xf>
    <xf numFmtId="0" fontId="0" fillId="0" borderId="23" xfId="56" applyFont="1" applyFill="1" applyBorder="1" applyAlignment="1">
      <alignment vertical="center"/>
      <protection/>
    </xf>
    <xf numFmtId="3" fontId="0" fillId="38" borderId="23" xfId="56" applyNumberFormat="1" applyFont="1" applyFill="1" applyBorder="1" applyAlignment="1">
      <alignment horizontal="right" vertical="center" indent="1"/>
      <protection/>
    </xf>
    <xf numFmtId="3" fontId="0" fillId="38" borderId="19" xfId="56" applyNumberFormat="1" applyFont="1" applyFill="1" applyBorder="1" applyAlignment="1">
      <alignment horizontal="right" vertical="center" indent="1"/>
      <protection/>
    </xf>
    <xf numFmtId="0" fontId="1" fillId="0" borderId="11" xfId="56" applyFont="1" applyFill="1" applyBorder="1" applyAlignment="1">
      <alignment/>
      <protection/>
    </xf>
    <xf numFmtId="0" fontId="0" fillId="0" borderId="24" xfId="56" applyFont="1" applyFill="1" applyBorder="1" applyAlignment="1">
      <alignment/>
      <protection/>
    </xf>
    <xf numFmtId="4" fontId="0" fillId="38" borderId="19" xfId="56" applyNumberFormat="1" applyFont="1" applyFill="1" applyBorder="1" applyAlignment="1" applyProtection="1">
      <alignment horizontal="right" vertical="center" indent="1"/>
      <protection hidden="1"/>
    </xf>
    <xf numFmtId="3" fontId="0" fillId="0" borderId="0" xfId="0" applyNumberFormat="1" applyFill="1" applyAlignment="1" applyProtection="1">
      <alignment/>
      <protection hidden="1"/>
    </xf>
    <xf numFmtId="0" fontId="0" fillId="0" borderId="27" xfId="56" applyFont="1" applyFill="1" applyBorder="1" applyAlignment="1">
      <alignment vertical="center"/>
      <protection/>
    </xf>
    <xf numFmtId="0" fontId="0" fillId="0" borderId="21" xfId="56" applyFont="1" applyFill="1" applyBorder="1" applyAlignment="1">
      <alignment/>
      <protection/>
    </xf>
    <xf numFmtId="3" fontId="0" fillId="38" borderId="12" xfId="56" applyNumberFormat="1" applyFill="1" applyBorder="1" applyAlignment="1" applyProtection="1">
      <alignment horizontal="right" vertical="center" indent="1"/>
      <protection hidden="1"/>
    </xf>
    <xf numFmtId="4" fontId="0" fillId="38" borderId="23" xfId="56" applyNumberFormat="1" applyFill="1" applyBorder="1" applyAlignment="1" applyProtection="1">
      <alignment horizontal="right" vertical="center" indent="1"/>
      <protection hidden="1"/>
    </xf>
    <xf numFmtId="0" fontId="0" fillId="0" borderId="11" xfId="56" applyBorder="1">
      <alignment/>
      <protection/>
    </xf>
    <xf numFmtId="4" fontId="0" fillId="38" borderId="19" xfId="56" applyNumberFormat="1" applyFill="1" applyBorder="1" applyAlignment="1" applyProtection="1">
      <alignment horizontal="right" vertical="center" indent="1"/>
      <protection hidden="1"/>
    </xf>
    <xf numFmtId="0" fontId="1" fillId="0" borderId="11" xfId="56" applyFont="1" applyBorder="1">
      <alignment/>
      <protection/>
    </xf>
    <xf numFmtId="0" fontId="0" fillId="0" borderId="26" xfId="56" applyBorder="1">
      <alignment/>
      <protection/>
    </xf>
    <xf numFmtId="4" fontId="0" fillId="38" borderId="26" xfId="56" applyNumberFormat="1" applyFill="1" applyBorder="1" applyAlignment="1" applyProtection="1">
      <alignment horizontal="right" vertical="center" indent="1"/>
      <protection hidden="1"/>
    </xf>
    <xf numFmtId="0" fontId="1" fillId="0" borderId="26" xfId="56" applyFont="1" applyBorder="1">
      <alignment/>
      <protection/>
    </xf>
    <xf numFmtId="4" fontId="0" fillId="38" borderId="12" xfId="56" applyNumberFormat="1" applyFill="1" applyBorder="1" applyAlignment="1" applyProtection="1">
      <alignment horizontal="right" vertical="center" indent="1"/>
      <protection hidden="1"/>
    </xf>
    <xf numFmtId="0" fontId="0" fillId="0" borderId="19" xfId="56" applyBorder="1">
      <alignment/>
      <protection/>
    </xf>
    <xf numFmtId="9" fontId="0" fillId="0" borderId="11" xfId="0" applyNumberFormat="1" applyBorder="1" applyAlignment="1">
      <alignment/>
    </xf>
    <xf numFmtId="4" fontId="0" fillId="38" borderId="25" xfId="56" applyNumberFormat="1" applyFill="1" applyBorder="1" applyAlignment="1">
      <alignment horizontal="right" vertical="center" indent="1"/>
      <protection/>
    </xf>
    <xf numFmtId="3" fontId="0" fillId="38" borderId="12" xfId="56" applyNumberFormat="1" applyFill="1" applyBorder="1" applyAlignment="1">
      <alignment horizontal="right" vertical="center" indent="1"/>
      <protection/>
    </xf>
    <xf numFmtId="3" fontId="0" fillId="38" borderId="12" xfId="56" applyNumberFormat="1" applyFill="1" applyBorder="1" applyAlignment="1" applyProtection="1">
      <alignment horizontal="right" indent="1"/>
      <protection hidden="1"/>
    </xf>
    <xf numFmtId="3" fontId="0" fillId="38" borderId="25" xfId="56" applyNumberFormat="1" applyFill="1" applyBorder="1" applyAlignment="1">
      <alignment horizontal="right" vertical="center" indent="1"/>
      <protection/>
    </xf>
    <xf numFmtId="189" fontId="8" fillId="0" borderId="0" xfId="0" applyNumberFormat="1" applyFont="1" applyFill="1" applyBorder="1" applyAlignment="1">
      <alignment horizontal="right"/>
    </xf>
    <xf numFmtId="0" fontId="4" fillId="0" borderId="0" xfId="51" applyFill="1" applyBorder="1" applyAlignment="1" applyProtection="1">
      <alignment/>
      <protection/>
    </xf>
    <xf numFmtId="0" fontId="8" fillId="34" borderId="28" xfId="0" applyFont="1" applyFill="1" applyBorder="1" applyAlignment="1">
      <alignment horizontal="right"/>
    </xf>
    <xf numFmtId="0" fontId="4" fillId="34" borderId="0" xfId="51" applyFill="1" applyAlignment="1" applyProtection="1">
      <alignment horizontal="left"/>
      <protection/>
    </xf>
    <xf numFmtId="0" fontId="8" fillId="34" borderId="0" xfId="0" applyFont="1" applyFill="1" applyAlignment="1">
      <alignment horizontal="right"/>
    </xf>
    <xf numFmtId="0" fontId="0" fillId="0" borderId="0" xfId="0" applyAlignment="1">
      <alignment horizontal="right"/>
    </xf>
  </cellXfs>
  <cellStyles count="56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 2" xfId="47"/>
    <cellStyle name="Hyperlink 3" xfId="48"/>
    <cellStyle name="Hyperlink 4" xfId="49"/>
    <cellStyle name="Comma" xfId="50"/>
    <cellStyle name="Hyperlink" xfId="51"/>
    <cellStyle name="Neutral" xfId="52"/>
    <cellStyle name="Notiz" xfId="53"/>
    <cellStyle name="Percent" xfId="54"/>
    <cellStyle name="Schlecht" xfId="55"/>
    <cellStyle name="Standard 2 2 2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ährung 2" xfId="65"/>
    <cellStyle name="Währung 3" xfId="66"/>
    <cellStyle name="Währung 4" xfId="67"/>
    <cellStyle name="Warnender Text" xfId="68"/>
    <cellStyle name="Zelle überprüfen" xfId="69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ohnsteuer2007.xls" TargetMode="External" /><Relationship Id="rId2" Type="http://schemas.openxmlformats.org/officeDocument/2006/relationships/hyperlink" Target="http://www.lohn-info.de/kurzarbeitergeld.html" TargetMode="External" /><Relationship Id="rId3" Type="http://schemas.openxmlformats.org/officeDocument/2006/relationships/hyperlink" Target="../steuer01.htm" TargetMode="External" /><Relationship Id="rId4" Type="http://schemas.openxmlformats.org/officeDocument/2006/relationships/hyperlink" Target="mailto:%20parmentier.ffm@t-online.de" TargetMode="External" /><Relationship Id="rId5" Type="http://schemas.openxmlformats.org/officeDocument/2006/relationships/hyperlink" Target="mailto:steuer@parmentier.de" TargetMode="External" /><Relationship Id="rId6" Type="http://schemas.openxmlformats.org/officeDocument/2006/relationships/hyperlink" Target="http://www.parmentier.de/steuer/index.php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E28" sqref="E28"/>
    </sheetView>
  </sheetViews>
  <sheetFormatPr defaultColWidth="11.421875" defaultRowHeight="12.75"/>
  <cols>
    <col min="1" max="1" width="51.140625" style="0" customWidth="1"/>
    <col min="2" max="2" width="12.8515625" style="0" bestFit="1" customWidth="1"/>
    <col min="3" max="3" width="3.00390625" style="0" customWidth="1"/>
    <col min="4" max="4" width="2.7109375" style="0" customWidth="1"/>
    <col min="5" max="5" width="56.7109375" style="22" customWidth="1"/>
    <col min="6" max="6" width="2.7109375" style="24" customWidth="1"/>
  </cols>
  <sheetData>
    <row r="1" spans="1:5" ht="12.75">
      <c r="A1" s="2"/>
      <c r="B1" s="3"/>
      <c r="C1" s="4"/>
      <c r="D1" s="75"/>
      <c r="E1" s="76"/>
    </row>
    <row r="2" spans="1:6" ht="12.75">
      <c r="A2" s="41" t="s">
        <v>42</v>
      </c>
      <c r="B2" s="42"/>
      <c r="C2" s="56"/>
      <c r="D2" s="59"/>
      <c r="E2" s="69" t="s">
        <v>111</v>
      </c>
      <c r="F2" s="57"/>
    </row>
    <row r="3" spans="1:6" ht="12.75">
      <c r="A3" s="2" t="s">
        <v>36</v>
      </c>
      <c r="B3" s="5">
        <v>1</v>
      </c>
      <c r="C3" s="6"/>
      <c r="D3" s="60"/>
      <c r="E3" s="63" t="s">
        <v>54</v>
      </c>
      <c r="F3" s="57"/>
    </row>
    <row r="4" spans="1:6" ht="12.75">
      <c r="A4" s="2" t="s">
        <v>110</v>
      </c>
      <c r="B4" s="138">
        <v>0.6</v>
      </c>
      <c r="C4" s="6"/>
      <c r="D4" s="60"/>
      <c r="E4" s="85"/>
      <c r="F4" s="57"/>
    </row>
    <row r="5" spans="1:6" ht="12.75">
      <c r="A5" s="2" t="s">
        <v>72</v>
      </c>
      <c r="B5" s="5">
        <v>0</v>
      </c>
      <c r="C5" s="4"/>
      <c r="D5" s="60"/>
      <c r="E5" s="64"/>
      <c r="F5" s="57"/>
    </row>
    <row r="6" spans="1:6" ht="12.75">
      <c r="A6" s="2"/>
      <c r="B6" s="5"/>
      <c r="C6" s="4"/>
      <c r="D6" s="60"/>
      <c r="E6" s="58" t="s">
        <v>58</v>
      </c>
      <c r="F6" s="57"/>
    </row>
    <row r="7" spans="1:6" ht="12.75">
      <c r="A7" s="2"/>
      <c r="B7" s="5"/>
      <c r="C7" s="4"/>
      <c r="D7" s="60"/>
      <c r="E7" s="65" t="s">
        <v>59</v>
      </c>
      <c r="F7" s="57"/>
    </row>
    <row r="8" spans="1:6" ht="12.75">
      <c r="A8" s="23" t="s">
        <v>43</v>
      </c>
      <c r="B8" s="43">
        <v>2500</v>
      </c>
      <c r="C8" s="8" t="s">
        <v>35</v>
      </c>
      <c r="D8" s="60"/>
      <c r="E8" s="58" t="s">
        <v>60</v>
      </c>
      <c r="F8" s="57"/>
    </row>
    <row r="9" spans="1:6" ht="12.75">
      <c r="A9" s="53" t="s">
        <v>56</v>
      </c>
      <c r="B9" s="54">
        <f>Berechnung!B4/100</f>
        <v>2500</v>
      </c>
      <c r="C9" s="8"/>
      <c r="D9" s="60"/>
      <c r="E9" s="58" t="s">
        <v>61</v>
      </c>
      <c r="F9" s="57"/>
    </row>
    <row r="10" spans="1:6" ht="12.75">
      <c r="A10" s="36" t="s">
        <v>26</v>
      </c>
      <c r="B10" s="37">
        <f>Berechnung!B5</f>
        <v>257.58</v>
      </c>
      <c r="C10" s="38" t="s">
        <v>35</v>
      </c>
      <c r="D10" s="60"/>
      <c r="E10" s="58" t="s">
        <v>108</v>
      </c>
      <c r="F10" s="57"/>
    </row>
    <row r="11" spans="1:6" ht="12.75">
      <c r="A11" s="36" t="s">
        <v>27</v>
      </c>
      <c r="B11" s="39">
        <f>Berechnung!B6</f>
        <v>0</v>
      </c>
      <c r="C11" s="8" t="s">
        <v>35</v>
      </c>
      <c r="D11" s="60"/>
      <c r="E11" s="64" t="s">
        <v>62</v>
      </c>
      <c r="F11" s="57"/>
    </row>
    <row r="12" spans="1:6" ht="12.75">
      <c r="A12" s="36" t="s">
        <v>53</v>
      </c>
      <c r="B12" s="39">
        <f>MIN(Berechnung!B4,Parameter!F10)*0.002</f>
        <v>500</v>
      </c>
      <c r="C12" s="8" t="s">
        <v>35</v>
      </c>
      <c r="D12" s="60"/>
      <c r="E12" s="64" t="s">
        <v>63</v>
      </c>
      <c r="F12" s="57"/>
    </row>
    <row r="13" spans="1:6" ht="12.75">
      <c r="A13" s="48" t="s">
        <v>80</v>
      </c>
      <c r="B13" s="49">
        <f>Berechnung!B10</f>
        <v>1742.42</v>
      </c>
      <c r="C13" s="47" t="s">
        <v>35</v>
      </c>
      <c r="D13" s="60"/>
      <c r="E13" s="66"/>
      <c r="F13" s="57"/>
    </row>
    <row r="14" spans="1:6" ht="12.75">
      <c r="A14" s="34" t="s">
        <v>52</v>
      </c>
      <c r="B14" s="83">
        <f>B4</f>
        <v>0.6</v>
      </c>
      <c r="C14" s="8"/>
      <c r="D14" s="60"/>
      <c r="E14" s="64" t="s">
        <v>64</v>
      </c>
      <c r="F14" s="57"/>
    </row>
    <row r="15" spans="1:6" ht="12.75">
      <c r="A15" s="86" t="s">
        <v>79</v>
      </c>
      <c r="B15" s="40">
        <f>ROUND(B13*B14,2)</f>
        <v>1045.45</v>
      </c>
      <c r="C15" s="44" t="s">
        <v>35</v>
      </c>
      <c r="D15" s="60"/>
      <c r="E15" s="64" t="s">
        <v>68</v>
      </c>
      <c r="F15" s="57"/>
    </row>
    <row r="16" spans="1:6" ht="12.75">
      <c r="A16" s="20"/>
      <c r="B16" s="5"/>
      <c r="C16" s="4"/>
      <c r="D16" s="60"/>
      <c r="E16" s="64" t="s">
        <v>69</v>
      </c>
      <c r="F16" s="57"/>
    </row>
    <row r="17" spans="1:6" ht="12.75">
      <c r="A17" s="23" t="s">
        <v>44</v>
      </c>
      <c r="B17" s="43">
        <v>1500</v>
      </c>
      <c r="C17" s="8" t="s">
        <v>35</v>
      </c>
      <c r="D17" s="61"/>
      <c r="E17" s="66"/>
      <c r="F17" s="57"/>
    </row>
    <row r="18" spans="1:6" ht="12.75">
      <c r="A18" s="53" t="s">
        <v>56</v>
      </c>
      <c r="B18" s="54">
        <f>Berechnung!B15/100</f>
        <v>1500</v>
      </c>
      <c r="C18" s="8"/>
      <c r="D18" s="61"/>
      <c r="E18" s="64" t="s">
        <v>70</v>
      </c>
      <c r="F18" s="57"/>
    </row>
    <row r="19" spans="1:6" ht="12.75">
      <c r="A19" s="36" t="s">
        <v>26</v>
      </c>
      <c r="B19" s="37">
        <f>Berechnung!B16</f>
        <v>43.83</v>
      </c>
      <c r="C19" s="38" t="s">
        <v>35</v>
      </c>
      <c r="D19" s="61"/>
      <c r="E19" s="58" t="s">
        <v>71</v>
      </c>
      <c r="F19" s="57"/>
    </row>
    <row r="20" spans="1:6" ht="12.75">
      <c r="A20" s="36" t="s">
        <v>27</v>
      </c>
      <c r="B20" s="39">
        <f>Berechnung!B17</f>
        <v>0</v>
      </c>
      <c r="C20" s="8" t="s">
        <v>35</v>
      </c>
      <c r="D20" s="62"/>
      <c r="E20" s="64"/>
      <c r="F20" s="57"/>
    </row>
    <row r="21" spans="1:6" ht="12.75">
      <c r="A21" s="36" t="s">
        <v>53</v>
      </c>
      <c r="B21" s="39">
        <f>IF(B18&lt;325.01,0,MIN(Berechnung!B15,Parameter!F10)*0.2/100)</f>
        <v>300</v>
      </c>
      <c r="C21" s="8" t="s">
        <v>35</v>
      </c>
      <c r="D21" s="62"/>
      <c r="E21" s="64"/>
      <c r="F21" s="57"/>
    </row>
    <row r="22" spans="1:6" ht="12.75">
      <c r="A22" s="48" t="s">
        <v>78</v>
      </c>
      <c r="B22" s="49">
        <f>Berechnung!B21</f>
        <v>1156.17</v>
      </c>
      <c r="C22" s="47" t="s">
        <v>35</v>
      </c>
      <c r="D22" s="62"/>
      <c r="E22" s="88"/>
      <c r="F22" s="57"/>
    </row>
    <row r="23" spans="1:6" ht="12.75">
      <c r="A23" s="34" t="s">
        <v>52</v>
      </c>
      <c r="B23" s="83">
        <f>B4</f>
        <v>0.6</v>
      </c>
      <c r="C23" s="8"/>
      <c r="D23" s="62"/>
      <c r="E23" s="64"/>
      <c r="F23" s="57"/>
    </row>
    <row r="24" spans="1:6" ht="12.75">
      <c r="A24" s="86" t="s">
        <v>79</v>
      </c>
      <c r="B24" s="40">
        <f>ROUND(B22*B23,2)</f>
        <v>693.7</v>
      </c>
      <c r="C24" s="44" t="s">
        <v>35</v>
      </c>
      <c r="D24" s="62"/>
      <c r="E24" s="58" t="s">
        <v>66</v>
      </c>
      <c r="F24" s="57"/>
    </row>
    <row r="25" spans="1:6" ht="12.75">
      <c r="A25" s="30"/>
      <c r="B25" s="31"/>
      <c r="C25" s="7"/>
      <c r="D25" s="61"/>
      <c r="E25" s="67" t="s">
        <v>55</v>
      </c>
      <c r="F25" s="57"/>
    </row>
    <row r="26" spans="1:6" ht="12.75">
      <c r="A26" s="50" t="s">
        <v>65</v>
      </c>
      <c r="B26" s="51">
        <f>IF(B15-B24&gt;0,B15-B24,0)</f>
        <v>351.75</v>
      </c>
      <c r="C26" s="52" t="s">
        <v>35</v>
      </c>
      <c r="D26" s="61"/>
      <c r="E26" s="68"/>
      <c r="F26" s="57"/>
    </row>
    <row r="27" spans="1:6" ht="12.75" thickBot="1">
      <c r="A27" s="34"/>
      <c r="B27" s="35"/>
      <c r="C27" s="72"/>
      <c r="D27" s="73"/>
      <c r="E27" s="84" t="s">
        <v>113</v>
      </c>
      <c r="F27" s="74"/>
    </row>
    <row r="28" spans="1:6" ht="12.75">
      <c r="A28" s="145" t="s">
        <v>67</v>
      </c>
      <c r="B28" s="145"/>
      <c r="C28" s="70" t="s">
        <v>83</v>
      </c>
      <c r="D28" s="70"/>
      <c r="E28" s="70"/>
      <c r="F28" s="71"/>
    </row>
    <row r="29" spans="1:6" ht="12.75">
      <c r="A29" s="147" t="s">
        <v>81</v>
      </c>
      <c r="B29" s="148"/>
      <c r="C29" s="146" t="s">
        <v>82</v>
      </c>
      <c r="D29" s="146"/>
      <c r="E29" s="146"/>
      <c r="F29" s="71"/>
    </row>
    <row r="30" spans="1:5" ht="12.75">
      <c r="A30" s="28"/>
      <c r="B30" s="144"/>
      <c r="C30" s="144"/>
      <c r="D30" s="144"/>
      <c r="E30" s="144"/>
    </row>
    <row r="31" spans="1:5" ht="12.75">
      <c r="A31" s="32"/>
      <c r="B31" s="77"/>
      <c r="C31" s="33"/>
      <c r="D31" s="29"/>
      <c r="E31" s="78"/>
    </row>
    <row r="32" spans="1:5" ht="12.75">
      <c r="A32" s="143"/>
      <c r="B32" s="143"/>
      <c r="C32" s="25"/>
      <c r="D32" s="25"/>
      <c r="E32" s="79"/>
    </row>
    <row r="33" spans="1:5" ht="12.75">
      <c r="A33" s="26"/>
      <c r="B33" s="27"/>
      <c r="C33" s="27"/>
      <c r="D33" s="27"/>
      <c r="E33" s="27"/>
    </row>
    <row r="34" spans="1:5" ht="12.75">
      <c r="A34" s="28"/>
      <c r="B34" s="144"/>
      <c r="C34" s="144"/>
      <c r="D34" s="144"/>
      <c r="E34" s="144"/>
    </row>
  </sheetData>
  <sheetProtection/>
  <mergeCells count="6">
    <mergeCell ref="A32:B32"/>
    <mergeCell ref="B34:E34"/>
    <mergeCell ref="A28:B28"/>
    <mergeCell ref="B30:E30"/>
    <mergeCell ref="C29:E29"/>
    <mergeCell ref="A29:B29"/>
  </mergeCells>
  <conditionalFormatting sqref="B16">
    <cfRule type="cellIs" priority="1" dxfId="0" operator="between" stopIfTrue="1">
      <formula>0</formula>
      <formula>5</formula>
    </cfRule>
  </conditionalFormatting>
  <dataValidations count="5">
    <dataValidation type="list" allowBlank="1" showInputMessage="1" showErrorMessage="1" sqref="B3">
      <formula1>"1,2,3,4,5,6"</formula1>
    </dataValidation>
    <dataValidation type="whole" allowBlank="1" showInputMessage="1" showErrorMessage="1" sqref="B6:B7">
      <formula1>0</formula1>
      <formula2>1</formula2>
    </dataValidation>
    <dataValidation type="whole" allowBlank="1" showInputMessage="1" showErrorMessage="1" sqref="B16">
      <formula1>0</formula1>
      <formula2>5</formula2>
    </dataValidation>
    <dataValidation type="list" allowBlank="1" showInputMessage="1" showErrorMessage="1" prompt="Arbeitnehmer erhalten 60% des entfallenden Nettolohns. Wer mindestens 50% in Kurzarbeit ist, erhält ab dem 4. Monat 70% und ab dem 7. Monat 80%. Lebt mindestens ein Kind im Haushalt erhöht sich der jeweilige Satz um 7%." sqref="B4">
      <formula1>"60%,67%,70%,77%,80%,87%"</formula1>
    </dataValidation>
    <dataValidation type="list" allowBlank="1" showInputMessage="1" showErrorMessage="1" sqref="B5">
      <formula1>"0,1"</formula1>
    </dataValidation>
  </dataValidations>
  <hyperlinks>
    <hyperlink ref="B35:E35" r:id="rId1" display="http://www.parmentier.de/steuer/lohnsteuer2007.xls"/>
    <hyperlink ref="E25" r:id="rId2" display="http://www.lohn-info.de/kurzarbeitergeld.html"/>
    <hyperlink ref="C28:E28" r:id="rId3" display="http://www.parmentier.de/steuer/steuer01.htm"/>
    <hyperlink ref="C29:E29" r:id="rId4" display="parmentier.ffm@t-online.de"/>
    <hyperlink ref="C29" r:id="rId5" display="steuer@parmentier.de"/>
    <hyperlink ref="C28" r:id="rId6" display="http://www.parmentier.de/steuer/index.php"/>
  </hyperlinks>
  <printOptions/>
  <pageMargins left="0.787401575" right="0.787401575" top="0.984251969" bottom="0.984251969" header="0.4921259845" footer="0.492125984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36">
      <selection activeCell="E51" sqref="E51"/>
    </sheetView>
  </sheetViews>
  <sheetFormatPr defaultColWidth="11.421875" defaultRowHeight="12.75"/>
  <cols>
    <col min="1" max="1" width="15.00390625" style="1" customWidth="1"/>
    <col min="2" max="3" width="11.28125" style="1" customWidth="1"/>
    <col min="4" max="4" width="12.00390625" style="1" customWidth="1"/>
    <col min="5" max="5" width="14.00390625" style="1" customWidth="1"/>
    <col min="6" max="6" width="11.28125" style="1" customWidth="1"/>
    <col min="7" max="7" width="12.00390625" style="1" customWidth="1"/>
    <col min="8" max="8" width="14.00390625" style="1" customWidth="1"/>
    <col min="9" max="16384" width="10.7109375" style="1" customWidth="1"/>
  </cols>
  <sheetData>
    <row r="1" spans="1:8" ht="12.75">
      <c r="A1" s="19" t="s">
        <v>104</v>
      </c>
      <c r="B1" s="45"/>
      <c r="D1" s="19" t="s">
        <v>57</v>
      </c>
      <c r="E1" s="19" t="s">
        <v>75</v>
      </c>
      <c r="G1" s="19" t="s">
        <v>57</v>
      </c>
      <c r="H1" s="19" t="s">
        <v>76</v>
      </c>
    </row>
    <row r="2" spans="4:8" ht="12.75">
      <c r="D2" s="1" t="s">
        <v>41</v>
      </c>
      <c r="E2" s="13">
        <f>B4*12</f>
        <v>3000000</v>
      </c>
      <c r="G2" s="1" t="s">
        <v>41</v>
      </c>
      <c r="H2" s="13">
        <f>B15*12</f>
        <v>1800000</v>
      </c>
    </row>
    <row r="3" spans="1:8" ht="12.75">
      <c r="A3" s="46" t="s">
        <v>50</v>
      </c>
      <c r="B3" s="81">
        <f>ROUNDDOWN((Eingabe!B8*100+1000)/2000,0)*2000</f>
        <v>250000</v>
      </c>
      <c r="D3" s="1" t="s">
        <v>0</v>
      </c>
      <c r="E3" s="14">
        <f>Eingabe!B3</f>
        <v>1</v>
      </c>
      <c r="G3" s="1" t="s">
        <v>0</v>
      </c>
      <c r="H3" s="14">
        <f>E3</f>
        <v>1</v>
      </c>
    </row>
    <row r="4" spans="1:8" ht="12.75">
      <c r="A4" s="1" t="s">
        <v>45</v>
      </c>
      <c r="B4" s="82">
        <f>IF(B3&gt;IF(Eingabe!B5=0,Parameter!F10,Parameter!F11),IF(Eingabe!B5=0,Parameter!F10,Parameter!F11),B3)</f>
        <v>250000</v>
      </c>
      <c r="D4" s="1" t="s">
        <v>77</v>
      </c>
      <c r="E4" s="21">
        <f>IF(E2&gt;IF(Eingabe!B5=0,Parameter!F10,Parameter!F11),IF(Eingabe!B5=0,Parameter!F10,Parameter!F11),E2)</f>
        <v>705000</v>
      </c>
      <c r="G4" s="1" t="s">
        <v>77</v>
      </c>
      <c r="H4" s="21">
        <f>IF(H2&gt;IF(Eingabe!B5=0,Parameter!F10,Parameter!F11),IF(Eingabe!B5=0,Parameter!F10,Parameter!F11),H2)</f>
        <v>705000</v>
      </c>
    </row>
    <row r="5" spans="1:2" ht="12.75">
      <c r="A5" s="1" t="s">
        <v>57</v>
      </c>
      <c r="B5" s="1">
        <f>E53/100</f>
        <v>257.58</v>
      </c>
    </row>
    <row r="6" spans="1:8" ht="12.75">
      <c r="A6" s="1" t="s">
        <v>47</v>
      </c>
      <c r="B6" s="18">
        <f>E63/100</f>
        <v>0</v>
      </c>
      <c r="D6" s="9" t="s">
        <v>2</v>
      </c>
      <c r="E6" s="10"/>
      <c r="G6" s="9" t="s">
        <v>2</v>
      </c>
      <c r="H6" s="10"/>
    </row>
    <row r="7" spans="1:8" ht="12.75">
      <c r="A7" s="1" t="s">
        <v>46</v>
      </c>
      <c r="B7" s="18">
        <f>B5+B6</f>
        <v>257.58</v>
      </c>
      <c r="D7" s="1" t="s">
        <v>3</v>
      </c>
      <c r="E7" s="15">
        <f>E2/100</f>
        <v>30000</v>
      </c>
      <c r="G7" s="1" t="s">
        <v>3</v>
      </c>
      <c r="H7" s="15">
        <f>H2/100</f>
        <v>18000</v>
      </c>
    </row>
    <row r="8" spans="1:8" ht="12.75">
      <c r="A8" s="1" t="s">
        <v>48</v>
      </c>
      <c r="B8" s="1">
        <v>0.2</v>
      </c>
      <c r="D8" s="1" t="s">
        <v>25</v>
      </c>
      <c r="E8" s="15">
        <f>MIN(E2/100,E4*12)</f>
        <v>30000</v>
      </c>
      <c r="G8" s="1" t="s">
        <v>25</v>
      </c>
      <c r="H8" s="15">
        <f>H2/100</f>
        <v>18000</v>
      </c>
    </row>
    <row r="9" spans="1:8" ht="12.75">
      <c r="A9" s="1" t="s">
        <v>46</v>
      </c>
      <c r="B9" s="18">
        <f>ROUNDDOWN(MIN(B4,Parameter!F10)*B8/100,2)+B7</f>
        <v>757.5799999999999</v>
      </c>
      <c r="E9" s="18"/>
      <c r="H9" s="18"/>
    </row>
    <row r="10" spans="1:8" ht="12.75">
      <c r="A10" s="10" t="s">
        <v>49</v>
      </c>
      <c r="B10" s="55">
        <f>MIN(B4/100,Parameter!F10/100)-B9</f>
        <v>1742.42</v>
      </c>
      <c r="D10" s="9" t="s">
        <v>4</v>
      </c>
      <c r="E10" s="10"/>
      <c r="G10" s="9" t="s">
        <v>4</v>
      </c>
      <c r="H10" s="10"/>
    </row>
    <row r="11" spans="4:8" ht="12.75">
      <c r="D11" s="1" t="s">
        <v>5</v>
      </c>
      <c r="E11" s="1">
        <f>IF(E3=3,2,1)</f>
        <v>1</v>
      </c>
      <c r="G11" s="1" t="s">
        <v>5</v>
      </c>
      <c r="H11" s="1">
        <f>IF(H3=3,2,1)</f>
        <v>1</v>
      </c>
    </row>
    <row r="12" spans="4:8" ht="12.75">
      <c r="D12" s="1" t="s">
        <v>6</v>
      </c>
      <c r="E12" s="125">
        <f>Parameter!F20</f>
        <v>1200</v>
      </c>
      <c r="G12" s="1" t="s">
        <v>6</v>
      </c>
      <c r="H12" s="125">
        <f>Parameter!F20</f>
        <v>1200</v>
      </c>
    </row>
    <row r="13" spans="4:8" ht="12.75">
      <c r="D13" s="1" t="s">
        <v>29</v>
      </c>
      <c r="E13" s="1">
        <f>IF(E3=2,Parameter!F21,0)</f>
        <v>0</v>
      </c>
      <c r="G13" s="1" t="s">
        <v>29</v>
      </c>
      <c r="H13" s="1">
        <f>IF(H3=2,Parameter!F21,0)</f>
        <v>0</v>
      </c>
    </row>
    <row r="14" spans="1:8" ht="12.75">
      <c r="A14" s="10" t="s">
        <v>51</v>
      </c>
      <c r="B14" s="13">
        <f>ROUNDDOWN((Eingabe!B17*100+1000)/2000,0)*2000</f>
        <v>150000</v>
      </c>
      <c r="D14" s="1" t="s">
        <v>7</v>
      </c>
      <c r="E14" s="1">
        <f>IF(E3&gt;5,0,Parameter!F22)</f>
        <v>36</v>
      </c>
      <c r="G14" s="1" t="s">
        <v>7</v>
      </c>
      <c r="H14" s="1">
        <f>IF(H3&gt;5,0,Parameter!F22)</f>
        <v>36</v>
      </c>
    </row>
    <row r="15" spans="1:8" ht="12.75">
      <c r="A15" s="1" t="s">
        <v>45</v>
      </c>
      <c r="B15" s="1">
        <f>IF(B14&gt;IF(Eingabe!B5=0,Parameter!F10,Parameter!F11),IF(Eingabe!B5=0,Parameter!F10,Parameter!F11),B14)</f>
        <v>150000</v>
      </c>
      <c r="D15" s="1" t="s">
        <v>8</v>
      </c>
      <c r="E15" s="1">
        <f>IF(E3=6,0,E12+E13+E14)</f>
        <v>1236</v>
      </c>
      <c r="G15" s="1" t="s">
        <v>8</v>
      </c>
      <c r="H15" s="1">
        <f>IF(H3=6,0,H12+H13+H14)</f>
        <v>1236</v>
      </c>
    </row>
    <row r="16" spans="1:2" ht="12.75">
      <c r="A16" s="1" t="s">
        <v>57</v>
      </c>
      <c r="B16" s="1">
        <f>H53/100</f>
        <v>43.83</v>
      </c>
    </row>
    <row r="17" spans="1:8" ht="12.75">
      <c r="A17" s="1" t="s">
        <v>47</v>
      </c>
      <c r="B17" s="1">
        <f>H63/100</f>
        <v>0</v>
      </c>
      <c r="D17" s="9" t="s">
        <v>30</v>
      </c>
      <c r="E17" s="11"/>
      <c r="F17" s="17"/>
      <c r="G17" s="9" t="s">
        <v>30</v>
      </c>
      <c r="H17" s="11"/>
    </row>
    <row r="18" spans="1:8" ht="12.75">
      <c r="A18" s="1" t="s">
        <v>46</v>
      </c>
      <c r="B18" s="1">
        <f>B16+B17</f>
        <v>43.83</v>
      </c>
      <c r="D18" s="1" t="s">
        <v>25</v>
      </c>
      <c r="E18" s="18">
        <f>MIN(E4*0.12,E8)</f>
        <v>30000</v>
      </c>
      <c r="G18" s="1" t="s">
        <v>25</v>
      </c>
      <c r="H18" s="18">
        <f>MIN(H4*0.12,H8)</f>
        <v>18000</v>
      </c>
    </row>
    <row r="19" spans="1:8" ht="12.75">
      <c r="A19" s="1" t="s">
        <v>48</v>
      </c>
      <c r="B19" s="1">
        <f>0.2</f>
        <v>0.2</v>
      </c>
      <c r="D19" s="1" t="s">
        <v>31</v>
      </c>
      <c r="E19" s="18">
        <f>Parameter!F14*E18*Parameter!F5/2</f>
        <v>2455.2</v>
      </c>
      <c r="G19" s="1" t="s">
        <v>31</v>
      </c>
      <c r="H19" s="18">
        <f>Parameter!F14*H18*Parameter!F5/2</f>
        <v>1473.12</v>
      </c>
    </row>
    <row r="20" spans="1:8" ht="12.75">
      <c r="A20" s="1" t="s">
        <v>46</v>
      </c>
      <c r="B20" s="1">
        <f>ROUNDDOWN(MIN(B15,Parameter!F10)*B8/100,2)+B18</f>
        <v>343.83</v>
      </c>
      <c r="D20" s="16" t="s">
        <v>33</v>
      </c>
      <c r="E20" s="18">
        <f>IF(E11=1,Parameter!F23,Parameter!F24)</f>
        <v>1900</v>
      </c>
      <c r="G20" s="16" t="s">
        <v>33</v>
      </c>
      <c r="H20" s="18">
        <f>IF(H11=1,Parameter!F23,Parameter!F24)</f>
        <v>1900</v>
      </c>
    </row>
    <row r="21" spans="1:8" ht="12.75">
      <c r="A21" s="10" t="s">
        <v>49</v>
      </c>
      <c r="B21" s="55">
        <f>B15/100-B20</f>
        <v>1156.17</v>
      </c>
      <c r="D21" s="16" t="s">
        <v>32</v>
      </c>
      <c r="E21" s="18">
        <f>MIN(E20,0.12*E18)</f>
        <v>1900</v>
      </c>
      <c r="G21" s="16" t="s">
        <v>32</v>
      </c>
      <c r="H21" s="18">
        <f>MIN(H20,0.12*H18)</f>
        <v>1900</v>
      </c>
    </row>
    <row r="22" spans="4:8" ht="12.75">
      <c r="D22" s="89" t="s">
        <v>106</v>
      </c>
      <c r="E22" s="80">
        <f>Parameter!G4+Parameter!G6</f>
        <v>0.09175000000000001</v>
      </c>
      <c r="G22" s="89" t="s">
        <v>106</v>
      </c>
      <c r="H22" s="80">
        <f>Parameter!G4+Parameter!G6</f>
        <v>0.09175000000000001</v>
      </c>
    </row>
    <row r="23" spans="4:8" ht="12.75">
      <c r="D23" s="16" t="s">
        <v>73</v>
      </c>
      <c r="E23" s="18">
        <f>MIN(E7,Parameter!F12)*E22</f>
        <v>2752.5000000000005</v>
      </c>
      <c r="G23" s="16" t="s">
        <v>73</v>
      </c>
      <c r="H23" s="18">
        <f>MIN(H7,Parameter!F12)*H22</f>
        <v>1651.5000000000002</v>
      </c>
    </row>
    <row r="24" spans="4:8" ht="12.75">
      <c r="D24" s="16" t="s">
        <v>74</v>
      </c>
      <c r="E24" s="18">
        <f>IF(E23&gt;E20,E23,E21)</f>
        <v>2752.5000000000005</v>
      </c>
      <c r="G24" s="16" t="s">
        <v>74</v>
      </c>
      <c r="H24" s="18">
        <f>IF(H23&gt;H20,H23,H21)</f>
        <v>1900</v>
      </c>
    </row>
    <row r="25" spans="4:8" ht="12.75">
      <c r="D25" s="16" t="s">
        <v>34</v>
      </c>
      <c r="E25" s="18">
        <f>ROUNDUP(E19+E24,0)</f>
        <v>5208</v>
      </c>
      <c r="G25" s="16" t="s">
        <v>34</v>
      </c>
      <c r="H25" s="18">
        <f>ROUNDUP(H19+H24,0)</f>
        <v>3374</v>
      </c>
    </row>
    <row r="26" spans="4:8" ht="12.75">
      <c r="D26" s="16"/>
      <c r="E26" s="18"/>
      <c r="G26" s="16"/>
      <c r="H26" s="18"/>
    </row>
    <row r="27" spans="4:8" ht="12.75">
      <c r="D27" s="9" t="s">
        <v>20</v>
      </c>
      <c r="E27" s="10"/>
      <c r="G27" s="9" t="s">
        <v>20</v>
      </c>
      <c r="H27" s="10"/>
    </row>
    <row r="28" spans="4:8" ht="12.75">
      <c r="D28" s="1" t="s">
        <v>9</v>
      </c>
      <c r="E28" s="15">
        <f>ROUNDDOWN(E7-E15-E25,0)</f>
        <v>23556</v>
      </c>
      <c r="G28" s="1" t="s">
        <v>9</v>
      </c>
      <c r="H28" s="15">
        <f>ROUNDDOWN(H7-H15-H25,0)</f>
        <v>13390</v>
      </c>
    </row>
    <row r="29" spans="4:8" ht="12.75">
      <c r="D29" s="1" t="s">
        <v>15</v>
      </c>
      <c r="E29" s="15">
        <f>MAX(0,ROUNDDOWN(E28/E11,0))</f>
        <v>23556</v>
      </c>
      <c r="G29" s="1" t="s">
        <v>15</v>
      </c>
      <c r="H29" s="15">
        <f>MAX(0,ROUNDDOWN(H28/H11,0))</f>
        <v>13390</v>
      </c>
    </row>
    <row r="31" spans="4:8" ht="12.75">
      <c r="D31" s="9" t="s">
        <v>105</v>
      </c>
      <c r="E31" s="10"/>
      <c r="G31" s="9" t="s">
        <v>105</v>
      </c>
      <c r="H31" s="10"/>
    </row>
    <row r="32" spans="4:8" ht="12.75">
      <c r="D32" s="1" t="s">
        <v>11</v>
      </c>
      <c r="E32" s="1">
        <f>IF(E29&lt;=Parameter!F18,0,IF(E29&lt;=Parameter!F29,INT((Parameter!F35*(E29-Parameter!F18)/10000+Parameter!F36)*(E29-Parameter!F18)/10000),IF(E29&lt;=Parameter!F30,INT((Parameter!F32*(E29-Parameter!F29)/10000+Parameter!F33)*(E29-Parameter!F29)/10000+Parameter!F34),IF(E29&lt;=Parameter!F31,INT(E29*Parameter!F25-Parameter!F37),INT(E29*Parameter!F26-Parameter!F38)))))*E11</f>
        <v>3091</v>
      </c>
      <c r="G32" s="1" t="s">
        <v>11</v>
      </c>
      <c r="H32" s="1">
        <f>IF(H29&lt;=Parameter!F18,0,IF(H29&lt;=Parameter!F29,INT((Parameter!F35*(H29-Parameter!F18)/10000+Parameter!F36)*(H29-Parameter!F18)/10000),IF(H29&lt;=Parameter!F30,INT((Parameter!F32*(H29-Parameter!F29)/10000+Parameter!F33)*(H29-Parameter!F29)/10000+Parameter!F34),IF(H29&lt;=Parameter!F31,INT(H29*Parameter!F25-Parameter!F37),INT(H29*Parameter!F26-Parameter!F38)))))*H11</f>
        <v>526</v>
      </c>
    </row>
    <row r="33" spans="4:7" ht="12.75">
      <c r="D33" s="12"/>
      <c r="G33" s="12"/>
    </row>
    <row r="34" spans="4:8" ht="12.75">
      <c r="D34" s="9" t="s">
        <v>14</v>
      </c>
      <c r="E34" s="10"/>
      <c r="G34" s="9" t="s">
        <v>14</v>
      </c>
      <c r="H34" s="10"/>
    </row>
    <row r="35" spans="5:8" ht="12.75">
      <c r="E35" s="15"/>
      <c r="H35" s="15"/>
    </row>
    <row r="36" spans="4:8" ht="12.75">
      <c r="D36" s="1" t="s">
        <v>10</v>
      </c>
      <c r="E36" s="15">
        <f>MIN(Parameter!F16,E29)*1.25</f>
        <v>29445</v>
      </c>
      <c r="G36" s="1" t="s">
        <v>10</v>
      </c>
      <c r="H36" s="15">
        <f>MIN(Parameter!F16,H29)*1.25</f>
        <v>16737.5</v>
      </c>
    </row>
    <row r="37" spans="4:8" ht="12.75">
      <c r="D37" s="1" t="s">
        <v>16</v>
      </c>
      <c r="E37" s="1">
        <f>IF(E36&lt;=Parameter!F18,0,IF(E36&lt;=Parameter!F29,INT((Parameter!F35*(E36-Parameter!F18)/10000+Parameter!F36)*(E36-Parameter!F18)/10000),IF(E36&lt;=Parameter!F30,INT((Parameter!F32*(E36-Parameter!F29)/10000+Parameter!F33)*(E36-Parameter!F29)/10000+Parameter!F34),IF(E36&lt;=Parameter!F31,INT(E36*Parameter!F25-Parameter!F37),INT(E36*Parameter!F26-Parameter!F38)))))</f>
        <v>4784</v>
      </c>
      <c r="G37" s="1" t="s">
        <v>16</v>
      </c>
      <c r="H37" s="1">
        <f>IF(H36&lt;=Parameter!F18,0,IF(H36&lt;=Parameter!F29,INT((Parameter!F35*(H36-Parameter!F18)/10000+Parameter!F36)*(H36-Parameter!F18)/10000),IF(H36&lt;=Parameter!F30,INT((Parameter!F32*(H36-Parameter!F29)/10000+Parameter!F33)*(H36-Parameter!F29)/10000+Parameter!F34),IF(H36&lt;=Parameter!F31,INT(H36*Parameter!F25-Parameter!F37),INT(H36*Parameter!F26-Parameter!F38)))))</f>
        <v>1310</v>
      </c>
    </row>
    <row r="38" spans="4:8" ht="12.75">
      <c r="D38" s="1" t="s">
        <v>10</v>
      </c>
      <c r="E38" s="15">
        <f>MIN(Parameter!F16,E29)*0.75</f>
        <v>17667</v>
      </c>
      <c r="G38" s="1" t="s">
        <v>10</v>
      </c>
      <c r="H38" s="15">
        <f>MIN(Parameter!F16,H29)*0.75</f>
        <v>10042.5</v>
      </c>
    </row>
    <row r="39" spans="4:8" ht="12.75">
      <c r="D39" s="1" t="s">
        <v>17</v>
      </c>
      <c r="E39" s="1">
        <f>IF(E38&lt;=Parameter!F18,0,IF(E38&lt;=Parameter!F29,INT((Parameter!F35*(E38-Parameter!F18)/10000+Parameter!F36)*(E38-Parameter!F18)/10000),IF(E38&lt;=Parameter!F30,INT((Parameter!F32*(E38-Parameter!F29)/10000+Parameter!F33)*(E38-Parameter!F29)/10000+Parameter!F34),IF(E38&lt;=Parameter!F31,INT(E38*Parameter!F25-Parameter!F37),INT(E38*Parameter!F26-Parameter!F38)))))</f>
        <v>1541</v>
      </c>
      <c r="G39" s="1" t="s">
        <v>17</v>
      </c>
      <c r="H39" s="1">
        <f>IF(H38&lt;=Parameter!F18,0,IF(H38&lt;=Parameter!F29,INT((Parameter!F35*(H38-Parameter!F18)/10000+Parameter!F36)*(H38-Parameter!F18)/10000),IF(H38&lt;=Parameter!F30,INT((Parameter!F32*(H38-Parameter!F29)/10000+Parameter!F33)*(H38-Parameter!F29)/10000+Parameter!F34),IF(H38&lt;=Parameter!F31,INT(H38*Parameter!F25-Parameter!F37),INT(H38*Parameter!F26-Parameter!F38)))))</f>
        <v>0</v>
      </c>
    </row>
    <row r="40" spans="4:8" ht="12.75">
      <c r="D40" s="1" t="s">
        <v>18</v>
      </c>
      <c r="E40" s="15">
        <f>(E37-E39)*2</f>
        <v>6486</v>
      </c>
      <c r="G40" s="1" t="s">
        <v>18</v>
      </c>
      <c r="H40" s="15">
        <f>(H37-H39)*2</f>
        <v>2620</v>
      </c>
    </row>
    <row r="41" spans="4:8" ht="12.75">
      <c r="D41" s="1" t="s">
        <v>19</v>
      </c>
      <c r="E41" s="1">
        <f>ROUNDDOWN(MIN(E29,Parameter!F16)*0.14,0)</f>
        <v>3297</v>
      </c>
      <c r="G41" s="1" t="s">
        <v>19</v>
      </c>
      <c r="H41" s="1">
        <f>ROUNDDOWN(MIN(H29,Parameter!F16)*0.14,0)</f>
        <v>1874</v>
      </c>
    </row>
    <row r="42" spans="4:8" ht="12.75">
      <c r="D42" s="1" t="s">
        <v>11</v>
      </c>
      <c r="E42" s="15">
        <f>MAX(E40,E41)</f>
        <v>6486</v>
      </c>
      <c r="G42" s="1" t="s">
        <v>11</v>
      </c>
      <c r="H42" s="15">
        <f>MAX(H40,H41)</f>
        <v>2620</v>
      </c>
    </row>
    <row r="43" spans="4:8" ht="12.75">
      <c r="D43" s="1" t="s">
        <v>11</v>
      </c>
      <c r="E43" s="15">
        <f>IF(E29&gt;Parameter!F17,(Parameter!F17-Parameter!F16)*Parameter!F25+E42,ROUNDDOWN(MAX(E29-Parameter!F16,0)*Parameter!F25+E42,0))</f>
        <v>6486</v>
      </c>
      <c r="G43" s="1" t="s">
        <v>11</v>
      </c>
      <c r="H43" s="15">
        <f>IF(H29&gt;Parameter!F17,(Parameter!F17-Parameter!F16)*Parameter!F25+H42,ROUNDDOWN(MAX(H29-Parameter!F16,0)*Parameter!F25+H42,0))</f>
        <v>2620</v>
      </c>
    </row>
    <row r="44" spans="4:8" ht="12.75">
      <c r="D44" s="1" t="s">
        <v>39</v>
      </c>
      <c r="E44" s="1">
        <f>IF(AND(E29&gt;Parameter!F15,E29&lt;=Parameter!F16),E42,0)</f>
        <v>6486</v>
      </c>
      <c r="G44" s="1" t="s">
        <v>39</v>
      </c>
      <c r="H44" s="1">
        <f>IF(AND(H29&gt;Parameter!F15,H29&lt;=Parameter!F16),H42,0)</f>
        <v>2620</v>
      </c>
    </row>
    <row r="45" spans="4:10" ht="12.75">
      <c r="D45" s="1" t="s">
        <v>11</v>
      </c>
      <c r="E45" s="15">
        <f>ROUNDDOWN(Parameter!F15*0.14,0)</f>
        <v>1651</v>
      </c>
      <c r="G45" s="1" t="s">
        <v>11</v>
      </c>
      <c r="H45" s="15">
        <f>ROUNDDOWN(Parameter!F15*0.14,0)</f>
        <v>1651</v>
      </c>
      <c r="J45" s="87"/>
    </row>
    <row r="46" spans="4:8" ht="12.75">
      <c r="D46" s="1" t="s">
        <v>11</v>
      </c>
      <c r="E46" s="15">
        <f>MIN(ROUNDDOWN(MAX(E29-Parameter!F15,0)*Parameter!F25+E45,0),E43)</f>
        <v>6486</v>
      </c>
      <c r="G46" s="1" t="s">
        <v>11</v>
      </c>
      <c r="H46" s="15">
        <f>MIN(ROUNDDOWN(MAX(H29-Parameter!F15,0)*Parameter!F25+H45,0),H43)</f>
        <v>2321</v>
      </c>
    </row>
    <row r="47" spans="4:8" ht="12.75">
      <c r="D47" s="1" t="s">
        <v>40</v>
      </c>
      <c r="E47" s="15">
        <f>ROUNDDOWN(MAX(E29-Parameter!F17,0)*Parameter!F26+E46,0)</f>
        <v>6486</v>
      </c>
      <c r="G47" s="1" t="s">
        <v>40</v>
      </c>
      <c r="H47" s="15">
        <f>ROUNDDOWN(MAX(H29-Parameter!F17,0)*Parameter!F26+H46,0)</f>
        <v>2321</v>
      </c>
    </row>
    <row r="48" spans="4:8" ht="12.75">
      <c r="D48" s="1" t="s">
        <v>12</v>
      </c>
      <c r="E48" s="1">
        <f>IF(E3&lt;5,E32,E47)</f>
        <v>3091</v>
      </c>
      <c r="G48" s="1" t="s">
        <v>12</v>
      </c>
      <c r="H48" s="1">
        <f>IF(H3&lt;5,H32,H47)</f>
        <v>526</v>
      </c>
    </row>
    <row r="49" spans="4:8" ht="12.75">
      <c r="D49" s="1" t="s">
        <v>1</v>
      </c>
      <c r="E49" s="1">
        <f>E48*100</f>
        <v>309100</v>
      </c>
      <c r="G49" s="1" t="s">
        <v>1</v>
      </c>
      <c r="H49" s="1">
        <f>H48*100</f>
        <v>52600</v>
      </c>
    </row>
    <row r="51" spans="4:8" ht="12.75">
      <c r="D51" s="9" t="s">
        <v>38</v>
      </c>
      <c r="E51" s="10"/>
      <c r="G51" s="9" t="s">
        <v>38</v>
      </c>
      <c r="H51" s="10"/>
    </row>
    <row r="53" spans="4:8" ht="12.75">
      <c r="D53" s="1" t="s">
        <v>28</v>
      </c>
      <c r="E53" s="1">
        <f>ROUNDDOWN(E49/12,0)</f>
        <v>25758</v>
      </c>
      <c r="G53" s="1" t="s">
        <v>28</v>
      </c>
      <c r="H53" s="1">
        <f>ROUNDDOWN(H49/12,0)</f>
        <v>4383</v>
      </c>
    </row>
    <row r="55" spans="4:8" ht="12.75">
      <c r="D55" s="9" t="s">
        <v>21</v>
      </c>
      <c r="E55" s="10"/>
      <c r="G55" s="9" t="s">
        <v>21</v>
      </c>
      <c r="H55" s="10"/>
    </row>
    <row r="56" spans="4:8" ht="12.75">
      <c r="D56" s="1" t="s">
        <v>22</v>
      </c>
      <c r="E56" s="1">
        <f>Parameter!F19*E11</f>
        <v>16956</v>
      </c>
      <c r="G56" s="1" t="s">
        <v>22</v>
      </c>
      <c r="H56" s="1">
        <f>Parameter!F19*H11</f>
        <v>16956</v>
      </c>
    </row>
    <row r="57" spans="4:8" ht="12.75">
      <c r="D57" s="1" t="s">
        <v>23</v>
      </c>
      <c r="E57" s="18">
        <f>ROUNDDOWN((E48*Parameter!F27)/100,2)</f>
        <v>170</v>
      </c>
      <c r="G57" s="1" t="s">
        <v>23</v>
      </c>
      <c r="H57" s="18">
        <f>ROUNDDOWN((H48*Parameter!F27)/100,2)</f>
        <v>28.93</v>
      </c>
    </row>
    <row r="58" spans="4:8" ht="12.75">
      <c r="D58" s="1" t="s">
        <v>24</v>
      </c>
      <c r="E58" s="18">
        <f>((E48-E56)*Parameter!F28)/100</f>
        <v>-1649.935</v>
      </c>
      <c r="G58" s="1" t="s">
        <v>24</v>
      </c>
      <c r="H58" s="18">
        <f>((H48-H56)*Parameter!F28)/100</f>
        <v>-1955.17</v>
      </c>
    </row>
    <row r="59" spans="4:8" ht="12.75">
      <c r="D59" s="1" t="s">
        <v>23</v>
      </c>
      <c r="E59" s="18">
        <f>MIN(E58,E57)</f>
        <v>-1649.935</v>
      </c>
      <c r="G59" s="1" t="s">
        <v>23</v>
      </c>
      <c r="H59" s="18">
        <f>MIN(H58,H57)</f>
        <v>-1955.17</v>
      </c>
    </row>
    <row r="60" spans="4:8" ht="12.75">
      <c r="D60" s="1" t="s">
        <v>1</v>
      </c>
      <c r="E60" s="1">
        <f>E59*100</f>
        <v>-164993.5</v>
      </c>
      <c r="G60" s="1" t="s">
        <v>1</v>
      </c>
      <c r="H60" s="1">
        <f>H59*100</f>
        <v>-195517</v>
      </c>
    </row>
    <row r="62" spans="4:8" ht="12.75">
      <c r="D62" s="9" t="s">
        <v>37</v>
      </c>
      <c r="E62" s="10"/>
      <c r="G62" s="9" t="s">
        <v>37</v>
      </c>
      <c r="H62" s="10"/>
    </row>
    <row r="63" spans="4:8" ht="12.75">
      <c r="D63" s="1" t="s">
        <v>13</v>
      </c>
      <c r="E63" s="1">
        <f>MAX(ROUNDDOWN(E60/12,0),0)</f>
        <v>0</v>
      </c>
      <c r="G63" s="1" t="s">
        <v>13</v>
      </c>
      <c r="H63" s="1">
        <f>MAX(ROUNDDOWN(H60/12,0),0)</f>
        <v>0</v>
      </c>
    </row>
    <row r="67" spans="4:7" ht="12.75">
      <c r="D67" s="12"/>
      <c r="G67" s="1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1:G38"/>
  <sheetViews>
    <sheetView zoomScalePageLayoutView="0" workbookViewId="0" topLeftCell="A10">
      <selection activeCell="F39" sqref="F39"/>
    </sheetView>
  </sheetViews>
  <sheetFormatPr defaultColWidth="11.421875" defaultRowHeight="12.75"/>
  <cols>
    <col min="5" max="5" width="18.421875" style="0" bestFit="1" customWidth="1"/>
    <col min="6" max="6" width="10.8515625" style="0" bestFit="1" customWidth="1"/>
  </cols>
  <sheetData>
    <row r="1" spans="5:7" ht="18">
      <c r="E1" s="90" t="str">
        <f>"SOZ-VS-BEITRAGSSÄTZE  "&amp;BearbJahr</f>
        <v>SOZ-VS-BEITRAGSSÄTZE  </v>
      </c>
      <c r="F1" s="91"/>
      <c r="G1" s="92"/>
    </row>
    <row r="2" spans="5:7" ht="15.75" thickBot="1">
      <c r="E2" s="93" t="s">
        <v>84</v>
      </c>
      <c r="F2" s="94" t="s">
        <v>85</v>
      </c>
      <c r="G2" s="95" t="s">
        <v>86</v>
      </c>
    </row>
    <row r="3" spans="5:7" ht="12.75">
      <c r="E3" s="96" t="s">
        <v>87</v>
      </c>
      <c r="F3" s="97">
        <v>0.146</v>
      </c>
      <c r="G3" s="98"/>
    </row>
    <row r="4" spans="5:7" ht="12.75">
      <c r="E4" s="99" t="s">
        <v>88</v>
      </c>
      <c r="F4" s="100">
        <v>0.013</v>
      </c>
      <c r="G4" s="98">
        <f>F4/2+0.07</f>
        <v>0.07650000000000001</v>
      </c>
    </row>
    <row r="5" spans="5:7" ht="12.75">
      <c r="E5" s="96" t="s">
        <v>89</v>
      </c>
      <c r="F5" s="101">
        <v>0.186</v>
      </c>
      <c r="G5" s="98">
        <f>F5/2</f>
        <v>0.093</v>
      </c>
    </row>
    <row r="6" spans="5:7" ht="12.75">
      <c r="E6" s="99" t="s">
        <v>90</v>
      </c>
      <c r="F6" s="100">
        <v>0.0305</v>
      </c>
      <c r="G6" s="98">
        <v>0.01525</v>
      </c>
    </row>
    <row r="7" spans="5:7" ht="12.75">
      <c r="E7" s="102"/>
      <c r="F7" s="102"/>
      <c r="G7" s="102"/>
    </row>
    <row r="8" spans="5:7" ht="16.5">
      <c r="E8" s="103" t="s">
        <v>91</v>
      </c>
      <c r="F8" s="104"/>
      <c r="G8" s="105"/>
    </row>
    <row r="9" spans="5:7" ht="15.75" thickBot="1">
      <c r="E9" s="106" t="s">
        <v>92</v>
      </c>
      <c r="F9" s="107" t="s">
        <v>93</v>
      </c>
      <c r="G9" s="106" t="s">
        <v>94</v>
      </c>
    </row>
    <row r="10" spans="5:7" ht="13.5" thickTop="1">
      <c r="E10" s="96" t="s">
        <v>77</v>
      </c>
      <c r="F10" s="108">
        <v>705000</v>
      </c>
      <c r="G10" s="109" t="s">
        <v>95</v>
      </c>
    </row>
    <row r="11" spans="5:7" ht="12.75">
      <c r="E11" s="96" t="s">
        <v>77</v>
      </c>
      <c r="F11" s="110">
        <v>675000</v>
      </c>
      <c r="G11" s="111"/>
    </row>
    <row r="12" spans="5:7" ht="12.75">
      <c r="E12" s="96" t="s">
        <v>107</v>
      </c>
      <c r="F12" s="110">
        <v>58050</v>
      </c>
      <c r="G12" s="111"/>
    </row>
    <row r="13" spans="5:7" ht="12.75">
      <c r="E13" s="99" t="s">
        <v>96</v>
      </c>
      <c r="F13" s="112">
        <v>0.0765</v>
      </c>
      <c r="G13" s="111"/>
    </row>
    <row r="14" spans="5:7" ht="12.75">
      <c r="E14" s="113" t="s">
        <v>97</v>
      </c>
      <c r="F14" s="139">
        <v>0.88</v>
      </c>
      <c r="G14" s="111"/>
    </row>
    <row r="15" spans="5:7" ht="12.75">
      <c r="E15" s="114" t="s">
        <v>98</v>
      </c>
      <c r="F15" s="128">
        <v>11793</v>
      </c>
      <c r="G15" s="111"/>
    </row>
    <row r="16" spans="5:7" ht="12.75">
      <c r="E16" s="114" t="s">
        <v>99</v>
      </c>
      <c r="F16" s="128">
        <v>29298</v>
      </c>
      <c r="G16" s="111"/>
    </row>
    <row r="17" spans="5:7" ht="12.75">
      <c r="E17" s="114" t="s">
        <v>100</v>
      </c>
      <c r="F17" s="128">
        <v>222260</v>
      </c>
      <c r="G17" s="111"/>
    </row>
    <row r="18" spans="5:7" ht="12.75">
      <c r="E18" s="114" t="s">
        <v>101</v>
      </c>
      <c r="F18" s="128">
        <v>10347</v>
      </c>
      <c r="G18" s="111"/>
    </row>
    <row r="19" spans="5:7" ht="13.5" thickBot="1">
      <c r="E19" s="115" t="s">
        <v>22</v>
      </c>
      <c r="F19" s="129">
        <v>16956</v>
      </c>
      <c r="G19" s="117"/>
    </row>
    <row r="20" spans="5:7" ht="13.5" thickTop="1">
      <c r="E20" s="99" t="s">
        <v>6</v>
      </c>
      <c r="F20" s="140">
        <v>1200</v>
      </c>
      <c r="G20" s="118" t="s">
        <v>4</v>
      </c>
    </row>
    <row r="21" spans="5:7" ht="12.75">
      <c r="E21" s="99" t="s">
        <v>29</v>
      </c>
      <c r="F21" s="141">
        <v>4008</v>
      </c>
      <c r="G21" s="111"/>
    </row>
    <row r="22" spans="5:7" ht="12.75" thickBot="1">
      <c r="E22" s="126" t="s">
        <v>7</v>
      </c>
      <c r="F22" s="142">
        <v>36</v>
      </c>
      <c r="G22" s="127"/>
    </row>
    <row r="23" spans="5:7" ht="12.75">
      <c r="E23" s="96" t="s">
        <v>102</v>
      </c>
      <c r="F23" s="121">
        <v>1900</v>
      </c>
      <c r="G23" s="122" t="s">
        <v>30</v>
      </c>
    </row>
    <row r="24" spans="5:7" ht="12.75" thickBot="1">
      <c r="E24" s="119" t="s">
        <v>102</v>
      </c>
      <c r="F24" s="120">
        <v>3000</v>
      </c>
      <c r="G24" s="117"/>
    </row>
    <row r="25" spans="5:7" ht="13.5" thickTop="1">
      <c r="E25" s="123"/>
      <c r="F25" s="124">
        <v>0.42</v>
      </c>
      <c r="G25" s="109" t="s">
        <v>14</v>
      </c>
    </row>
    <row r="26" spans="5:7" ht="12.75" thickBot="1">
      <c r="E26" s="117"/>
      <c r="F26" s="116">
        <v>0.45</v>
      </c>
      <c r="G26" s="117"/>
    </row>
    <row r="27" spans="5:7" ht="13.5" thickTop="1">
      <c r="E27" s="130" t="s">
        <v>103</v>
      </c>
      <c r="F27" s="131">
        <v>5.5</v>
      </c>
      <c r="G27" s="132" t="s">
        <v>21</v>
      </c>
    </row>
    <row r="28" spans="5:7" ht="13.5" thickBot="1">
      <c r="E28" s="133"/>
      <c r="F28" s="134">
        <v>11.9</v>
      </c>
      <c r="G28" s="135" t="s">
        <v>109</v>
      </c>
    </row>
    <row r="29" spans="5:7" ht="13.5" thickTop="1">
      <c r="E29" s="130"/>
      <c r="F29" s="128">
        <v>14926</v>
      </c>
      <c r="G29" s="132" t="s">
        <v>112</v>
      </c>
    </row>
    <row r="30" spans="5:7" ht="12.75">
      <c r="E30" s="130"/>
      <c r="F30" s="128">
        <v>58596</v>
      </c>
      <c r="G30" s="130"/>
    </row>
    <row r="31" spans="5:7" ht="12.75">
      <c r="E31" s="130"/>
      <c r="F31" s="128">
        <v>277826</v>
      </c>
      <c r="G31" s="130"/>
    </row>
    <row r="32" spans="5:7" ht="12.75">
      <c r="E32" s="130"/>
      <c r="F32" s="136">
        <v>206.43</v>
      </c>
      <c r="G32" s="130"/>
    </row>
    <row r="33" spans="5:7" ht="12.75">
      <c r="E33" s="130"/>
      <c r="F33" s="128">
        <v>2397</v>
      </c>
      <c r="G33" s="130"/>
    </row>
    <row r="34" spans="5:7" ht="12.75">
      <c r="E34" s="130"/>
      <c r="F34" s="136">
        <v>869.32</v>
      </c>
      <c r="G34" s="130"/>
    </row>
    <row r="35" spans="5:7" ht="12.75">
      <c r="E35" s="130"/>
      <c r="F35" s="136">
        <v>1088.7</v>
      </c>
      <c r="G35" s="130"/>
    </row>
    <row r="36" spans="5:7" ht="12.75">
      <c r="E36" s="130"/>
      <c r="F36" s="128">
        <v>1400</v>
      </c>
      <c r="G36" s="130"/>
    </row>
    <row r="37" spans="5:7" ht="12.75">
      <c r="E37" s="130"/>
      <c r="F37" s="136">
        <v>9336.45</v>
      </c>
      <c r="G37" s="130"/>
    </row>
    <row r="38" spans="5:7" ht="12.75">
      <c r="E38" s="137"/>
      <c r="F38" s="136">
        <v>17671.2</v>
      </c>
      <c r="G38" s="137"/>
    </row>
  </sheetData>
  <sheetProtection/>
  <printOptions/>
  <pageMargins left="0.7" right="0.7" top="0.787401575" bottom="0.7874015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HyperlinkBase>http://www.parmentier.de/steuer/kurzarbeitergeld2009.xls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Berechnung der Leistungsätze bei Kurzarbeitergeld 2013</dc:title>
  <dc:subject>Berechnung mit Zellfunktionen</dc:subject>
  <dc:creator>Wolfgang Parmentier</dc:creator>
  <cp:keywords/>
  <dc:description/>
  <cp:lastModifiedBy>johannesparmentier</cp:lastModifiedBy>
  <cp:lastPrinted>2006-02-07T15:12:52Z</cp:lastPrinted>
  <dcterms:created xsi:type="dcterms:W3CDTF">1999-02-09T12:11:13Z</dcterms:created>
  <dcterms:modified xsi:type="dcterms:W3CDTF">2022-06-06T14:25:19Z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