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activeTab="0"/>
  </bookViews>
  <sheets>
    <sheet name="Eingabe" sheetId="1" r:id="rId1"/>
    <sheet name="Berechnung" sheetId="2" r:id="rId2"/>
  </sheets>
  <definedNames/>
  <calcPr fullCalcOnLoad="1"/>
</workbook>
</file>

<file path=xl/sharedStrings.xml><?xml version="1.0" encoding="utf-8"?>
<sst xmlns="http://schemas.openxmlformats.org/spreadsheetml/2006/main" count="182" uniqueCount="96">
  <si>
    <t>STKL</t>
  </si>
  <si>
    <t>JW</t>
  </si>
  <si>
    <t>MRE4</t>
  </si>
  <si>
    <t>ZRE4</t>
  </si>
  <si>
    <t>MZTABFB</t>
  </si>
  <si>
    <t>KZTAB</t>
  </si>
  <si>
    <t>ANP</t>
  </si>
  <si>
    <t>SAP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</si>
  <si>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</si>
  <si>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</si>
  <si>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</si>
  <si>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</si>
  <si>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</si>
  <si>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</si>
  <si>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</si>
  <si>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</si>
  <si>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</si>
  <si>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</si>
  <si>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</si>
  <si>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</si>
  <si>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</si>
  <si>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MSOLZ</t>
  </si>
  <si>
    <t>SOLZFREI</t>
  </si>
  <si>
    <t>SOLZJ</t>
  </si>
  <si>
    <t>SOLZMIN</t>
  </si>
  <si>
    <t>ZRE4VP</t>
  </si>
  <si>
    <t>Lohnsteuer</t>
  </si>
  <si>
    <t>Solidaritätszuschlag</t>
  </si>
  <si>
    <t>LSTLZZ</t>
  </si>
  <si>
    <t>EFA</t>
  </si>
  <si>
    <t>UPEVP</t>
  </si>
  <si>
    <t>VSP1</t>
  </si>
  <si>
    <t>VSP2</t>
  </si>
  <si>
    <t>VHB</t>
  </si>
  <si>
    <t>VSPN</t>
  </si>
  <si>
    <t>€</t>
  </si>
  <si>
    <t>Steuerklasse 1 - 6</t>
  </si>
  <si>
    <t>SOLZ</t>
  </si>
  <si>
    <t>MLSTJAHR</t>
  </si>
  <si>
    <t>VERGL</t>
  </si>
  <si>
    <t>MIT REICHST</t>
  </si>
  <si>
    <t>ZRE4J</t>
  </si>
  <si>
    <t>Kinderfreibetrag auf LStrKarte = 1, ohne = 2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</si>
  <si>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</si>
  <si>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</si>
  <si>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</si>
  <si>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&gt; BBGR ?</t>
  </si>
  <si>
    <t>ABZ</t>
  </si>
  <si>
    <t>SOLZU</t>
  </si>
  <si>
    <t>SozP</t>
  </si>
  <si>
    <t>NETENT</t>
  </si>
  <si>
    <t>GLOHN (SOLL)</t>
  </si>
  <si>
    <t>GLOHN (IST)</t>
  </si>
  <si>
    <t>x Leistungssatz</t>
  </si>
  <si>
    <t>Sozialversicherungspauschale</t>
  </si>
  <si>
    <t>entsprechend dem Programmablauplan des Bundesmin. für Arbeit u.Soziales</t>
  </si>
  <si>
    <t>http://www.lohn-info.de/kurzarbeitergeld.html</t>
  </si>
  <si>
    <t>auf durch 20 teilbaren Betrag gerundet</t>
  </si>
  <si>
    <t>LST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</si>
  <si>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</si>
  <si>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</si>
  <si>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</si>
  <si>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</si>
  <si>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schale (gerundetes Brutto x 21%). Die Summe davon wird vom ge-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</si>
  <si>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</si>
  <si>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</si>
  <si>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</si>
  <si>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</si>
  <si>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</si>
  <si>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</si>
  <si>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http://www.parmentier.de/steuer/steuer01.htm</t>
  </si>
  <si>
    <t>pauschalierten monatlich zustehenden (Soll)Nettoentgelt und dem</t>
  </si>
  <si>
    <t>auf Grund der Kurzarbeit erhaltenen pauschalierten (Ist)Nettoentgelt.</t>
  </si>
  <si>
    <t>Geringverdiener (unter 325 € monatlich) nicht berücksichtigt.</t>
  </si>
  <si>
    <t>Sozialversicherung f. KUG bezahlt dann allein der Arbeitgeber</t>
  </si>
  <si>
    <t>Arbeitsstelle in Ostdeutschland nein=0, ja=1</t>
  </si>
  <si>
    <t>KV</t>
  </si>
  <si>
    <t>KV&gt;VHB?</t>
  </si>
  <si>
    <t>für SOLL</t>
  </si>
  <si>
    <t>Für IST</t>
  </si>
  <si>
    <t>BBGR</t>
  </si>
  <si>
    <t>pauschaliertes Nettoentgelt</t>
  </si>
  <si>
    <t xml:space="preserve">Programm berücksichtigt die Sozialversicherungspauschale von </t>
  </si>
  <si>
    <t>rechnerischer Leistungssatz</t>
  </si>
  <si>
    <t>pauschaliertes Nettoentgelt = Brutto - ( LSt+Soli+SozP)</t>
  </si>
  <si>
    <t>Wolfgang† und Johannes Parmentier Frankfurt am Main e-Mail:</t>
  </si>
  <si>
    <t>steuer@parmentier.de</t>
  </si>
  <si>
    <t>Berechnung des Kurzarbeitgeldes nach dem SGB III für 2016</t>
  </si>
  <si>
    <t>Verordnung über das pauschalierte Nettoentgelt (KUG) 2016</t>
  </si>
  <si>
    <t>21% und den neuen Grundfreibetrag von 8652 €.</t>
  </si>
  <si>
    <t>Kurzarbeitergeld 2016</t>
  </si>
  <si>
    <t>LST 2016</t>
  </si>
  <si>
    <t>UPTAB16</t>
  </si>
  <si>
    <t>=10070*1.25=12.587,5 davon ST = 704,9 2 = 1409,8 bzw. auch 10070 * 14% = 1409,8</t>
  </si>
  <si>
    <t xml:space="preserve"> Stand 26.01.2016</t>
  </si>
  <si>
    <t>7,0%+1,175%+1,1%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</si>
</sst>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0_ ;\-0.00000\ "/>
    <numFmt numFmtId="189" formatCode="#,##0.0000_ ;\-#,##0.0000\ "/>
    <numFmt numFmtId="190" formatCode="#,##0.000\ &quot;€&quot;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6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7" fillId="0" borderId="10" xfId="0" applyFont="1" applyBorder="1" applyAlignment="1">
      <alignment wrapText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4" fillId="0" borderId="0" xfId="48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7" fontId="0" fillId="0" borderId="0" xfId="62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7" fontId="0" fillId="0" borderId="10" xfId="6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7" fontId="0" fillId="0" borderId="11" xfId="62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2" fontId="1" fillId="35" borderId="11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7" fontId="17" fillId="0" borderId="11" xfId="6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7" fontId="1" fillId="0" borderId="0" xfId="6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185" fontId="0" fillId="0" borderId="0" xfId="0" applyNumberFormat="1" applyFill="1" applyAlignment="1" applyProtection="1">
      <alignment/>
      <protection hidden="1"/>
    </xf>
    <xf numFmtId="0" fontId="0" fillId="34" borderId="14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48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4" fillId="36" borderId="0" xfId="48" applyFill="1" applyBorder="1" applyAlignment="1" applyProtection="1">
      <alignment horizontal="center"/>
      <protection/>
    </xf>
    <xf numFmtId="0" fontId="9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4" fillId="34" borderId="0" xfId="48" applyFill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173" fontId="3" fillId="0" borderId="0" xfId="0" applyNumberFormat="1" applyFont="1" applyBorder="1" applyAlignment="1">
      <alignment/>
    </xf>
    <xf numFmtId="173" fontId="4" fillId="0" borderId="0" xfId="48" applyNumberFormat="1" applyFont="1" applyFill="1" applyBorder="1" applyAlignment="1" applyProtection="1">
      <alignment/>
      <protection/>
    </xf>
    <xf numFmtId="173" fontId="0" fillId="0" borderId="0" xfId="0" applyNumberFormat="1" applyBorder="1" applyAlignment="1">
      <alignment/>
    </xf>
    <xf numFmtId="173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hidden="1"/>
    </xf>
    <xf numFmtId="2" fontId="10" fillId="0" borderId="19" xfId="0" applyNumberFormat="1" applyFont="1" applyFill="1" applyBorder="1" applyAlignment="1">
      <alignment/>
    </xf>
    <xf numFmtId="14" fontId="15" fillId="36" borderId="17" xfId="48" applyNumberFormat="1" applyFont="1" applyFill="1" applyBorder="1" applyAlignment="1" applyProtection="1">
      <alignment horizontal="right"/>
      <protection/>
    </xf>
    <xf numFmtId="10" fontId="0" fillId="36" borderId="0" xfId="0" applyNumberFormat="1" applyFont="1" applyFill="1" applyBorder="1" applyAlignment="1">
      <alignment horizontal="left"/>
    </xf>
    <xf numFmtId="0" fontId="4" fillId="0" borderId="0" xfId="48" applyAlignment="1" applyProtection="1">
      <alignment horizontal="center"/>
      <protection/>
    </xf>
    <xf numFmtId="0" fontId="49" fillId="0" borderId="13" xfId="0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73" fontId="8" fillId="0" borderId="0" xfId="0" applyNumberFormat="1" applyFont="1" applyFill="1" applyBorder="1" applyAlignment="1">
      <alignment horizontal="right"/>
    </xf>
    <xf numFmtId="0" fontId="4" fillId="0" borderId="0" xfId="48" applyFill="1" applyBorder="1" applyAlignment="1" applyProtection="1">
      <alignment/>
      <protection/>
    </xf>
    <xf numFmtId="0" fontId="8" fillId="34" borderId="20" xfId="0" applyFont="1" applyFill="1" applyBorder="1" applyAlignment="1">
      <alignment horizontal="right"/>
    </xf>
    <xf numFmtId="0" fontId="4" fillId="34" borderId="0" xfId="48" applyFill="1" applyAlignment="1" applyProtection="1">
      <alignment horizontal="left"/>
      <protection/>
    </xf>
    <xf numFmtId="0" fontId="8" fillId="3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Hyperlink 3" xfId="50"/>
    <cellStyle name="Hyperlink 4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ährung 3" xfId="65"/>
    <cellStyle name="Währung 4" xfId="66"/>
    <cellStyle name="Warnender Text" xfId="67"/>
    <cellStyle name="Zelle überprüfen" xfId="68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../steuer01.htm" TargetMode="External" /><Relationship Id="rId4" Type="http://schemas.openxmlformats.org/officeDocument/2006/relationships/hyperlink" Target="mailto:%20parmentier.ffm@t-online.de" TargetMode="External" /><Relationship Id="rId5" Type="http://schemas.openxmlformats.org/officeDocument/2006/relationships/hyperlink" Target="mailto:steuer@parmentier.de" TargetMode="External" /><Relationship Id="rId6" Type="http://schemas.openxmlformats.org/officeDocument/2006/relationships/hyperlink" Target="http://www.bgbl.de/xaver/bgbl/start.xav?startbk=Bundesanzeiger_BGBl&amp;start=//*%255B@attr_id=%27bgbl115s2254.pdf%27%255D#__bgbl__%2F%2F*[%40attr_id%3D%27bgbl115s2254.pdf%27]__145270055254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51.140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22" customWidth="1"/>
    <col min="6" max="6" width="2.7109375" style="24" customWidth="1"/>
  </cols>
  <sheetData>
    <row r="1" spans="1:5" ht="12.75">
      <c r="A1" s="2"/>
      <c r="B1" s="3"/>
      <c r="C1" s="4"/>
      <c r="D1" s="75"/>
      <c r="E1" s="76"/>
    </row>
    <row r="2" spans="1:6" ht="12.75">
      <c r="A2" s="41" t="s">
        <v>43</v>
      </c>
      <c r="B2" s="42"/>
      <c r="C2" s="56"/>
      <c r="D2" s="59"/>
      <c r="E2" s="69" t="s">
        <v>87</v>
      </c>
      <c r="F2" s="57"/>
    </row>
    <row r="3" spans="1:6" ht="12.75">
      <c r="A3" s="2" t="s">
        <v>36</v>
      </c>
      <c r="B3" s="5">
        <v>1</v>
      </c>
      <c r="C3" s="6"/>
      <c r="D3" s="60"/>
      <c r="E3" s="63" t="s">
        <v>55</v>
      </c>
      <c r="F3" s="57"/>
    </row>
    <row r="4" spans="1:6" ht="12.75">
      <c r="A4" s="2" t="s">
        <v>42</v>
      </c>
      <c r="B4" s="5">
        <v>2</v>
      </c>
      <c r="C4" s="6"/>
      <c r="D4" s="60"/>
      <c r="E4" s="86" t="s">
        <v>88</v>
      </c>
      <c r="F4" s="57"/>
    </row>
    <row r="5" spans="1:6" ht="12.75">
      <c r="A5" s="2" t="s">
        <v>75</v>
      </c>
      <c r="B5" s="5">
        <v>0</v>
      </c>
      <c r="C5" s="4"/>
      <c r="D5" s="60"/>
      <c r="E5" s="64"/>
      <c r="F5" s="57"/>
    </row>
    <row r="6" spans="1:6" ht="12.75">
      <c r="A6" s="2"/>
      <c r="B6" s="5"/>
      <c r="C6" s="4"/>
      <c r="D6" s="60"/>
      <c r="E6" s="58" t="s">
        <v>59</v>
      </c>
      <c r="F6" s="57"/>
    </row>
    <row r="7" spans="1:6" ht="12.75">
      <c r="A7" s="2"/>
      <c r="B7" s="5"/>
      <c r="C7" s="4"/>
      <c r="D7" s="60"/>
      <c r="E7" s="65" t="s">
        <v>60</v>
      </c>
      <c r="F7" s="57"/>
    </row>
    <row r="8" spans="1:6" ht="12.75">
      <c r="A8" s="23" t="s">
        <v>44</v>
      </c>
      <c r="B8" s="43">
        <v>5400</v>
      </c>
      <c r="C8" s="8" t="s">
        <v>35</v>
      </c>
      <c r="D8" s="60"/>
      <c r="E8" s="58" t="s">
        <v>61</v>
      </c>
      <c r="F8" s="57"/>
    </row>
    <row r="9" spans="1:6" ht="12.75">
      <c r="A9" s="53" t="s">
        <v>57</v>
      </c>
      <c r="B9" s="54">
        <f>Berechnung!B5/100</f>
        <v>5400</v>
      </c>
      <c r="C9" s="8"/>
      <c r="D9" s="60"/>
      <c r="E9" s="58" t="s">
        <v>62</v>
      </c>
      <c r="F9" s="57"/>
    </row>
    <row r="10" spans="1:6" ht="12.75">
      <c r="A10" s="36" t="s">
        <v>26</v>
      </c>
      <c r="B10" s="37">
        <f>Berechnung!B6</f>
        <v>1231.41</v>
      </c>
      <c r="C10" s="38" t="s">
        <v>35</v>
      </c>
      <c r="D10" s="60"/>
      <c r="E10" s="58" t="s">
        <v>63</v>
      </c>
      <c r="F10" s="57"/>
    </row>
    <row r="11" spans="1:6" ht="12.75">
      <c r="A11" s="36" t="s">
        <v>27</v>
      </c>
      <c r="B11" s="39">
        <f>Berechnung!B7</f>
        <v>67.72</v>
      </c>
      <c r="C11" s="8" t="s">
        <v>35</v>
      </c>
      <c r="D11" s="60"/>
      <c r="E11" s="64" t="s">
        <v>64</v>
      </c>
      <c r="F11" s="57"/>
    </row>
    <row r="12" spans="1:6" ht="12.75">
      <c r="A12" s="36" t="s">
        <v>54</v>
      </c>
      <c r="B12" s="39">
        <f>MIN(Berechnung!B5,595000)*0.0021</f>
        <v>1134</v>
      </c>
      <c r="C12" s="8" t="s">
        <v>35</v>
      </c>
      <c r="D12" s="60"/>
      <c r="E12" s="64" t="s">
        <v>65</v>
      </c>
      <c r="F12" s="57"/>
    </row>
    <row r="13" spans="1:6" ht="12.75">
      <c r="A13" s="48" t="s">
        <v>84</v>
      </c>
      <c r="B13" s="49">
        <f>Berechnung!B11</f>
        <v>2966.87</v>
      </c>
      <c r="C13" s="47" t="s">
        <v>35</v>
      </c>
      <c r="D13" s="60"/>
      <c r="E13" s="66"/>
      <c r="F13" s="57"/>
    </row>
    <row r="14" spans="1:6" ht="12.75">
      <c r="A14" s="34" t="s">
        <v>53</v>
      </c>
      <c r="B14" s="83">
        <f>IF(B4=1,0.67,0.6)</f>
        <v>0.6</v>
      </c>
      <c r="C14" s="8"/>
      <c r="D14" s="60"/>
      <c r="E14" s="64" t="s">
        <v>66</v>
      </c>
      <c r="F14" s="57"/>
    </row>
    <row r="15" spans="1:6" ht="12.75">
      <c r="A15" s="87" t="s">
        <v>83</v>
      </c>
      <c r="B15" s="40">
        <f>ROUND(B13*B14,2)</f>
        <v>1780.12</v>
      </c>
      <c r="C15" s="44" t="s">
        <v>35</v>
      </c>
      <c r="D15" s="60"/>
      <c r="E15" s="64" t="s">
        <v>71</v>
      </c>
      <c r="F15" s="57"/>
    </row>
    <row r="16" spans="1:6" ht="12.75">
      <c r="A16" s="20"/>
      <c r="B16" s="5"/>
      <c r="C16" s="4"/>
      <c r="D16" s="60"/>
      <c r="E16" s="64" t="s">
        <v>72</v>
      </c>
      <c r="F16" s="57"/>
    </row>
    <row r="17" spans="1:6" ht="12.75">
      <c r="A17" s="23" t="s">
        <v>45</v>
      </c>
      <c r="B17" s="43">
        <v>1250</v>
      </c>
      <c r="C17" s="8" t="s">
        <v>35</v>
      </c>
      <c r="D17" s="61"/>
      <c r="E17" s="66"/>
      <c r="F17" s="57"/>
    </row>
    <row r="18" spans="1:6" ht="12.75">
      <c r="A18" s="53" t="s">
        <v>57</v>
      </c>
      <c r="B18" s="54">
        <f>Berechnung!B16/100</f>
        <v>1260</v>
      </c>
      <c r="C18" s="8"/>
      <c r="D18" s="61"/>
      <c r="E18" s="64" t="s">
        <v>73</v>
      </c>
      <c r="F18" s="57"/>
    </row>
    <row r="19" spans="1:6" ht="12.75">
      <c r="A19" s="36" t="s">
        <v>26</v>
      </c>
      <c r="B19" s="37">
        <f>Berechnung!B17/100</f>
        <v>0.3766</v>
      </c>
      <c r="C19" s="38" t="s">
        <v>35</v>
      </c>
      <c r="D19" s="61"/>
      <c r="E19" s="58" t="s">
        <v>74</v>
      </c>
      <c r="F19" s="57"/>
    </row>
    <row r="20" spans="1:6" ht="12.75">
      <c r="A20" s="36" t="s">
        <v>27</v>
      </c>
      <c r="B20" s="39">
        <f>Berechnung!B18/100</f>
        <v>0</v>
      </c>
      <c r="C20" s="8" t="s">
        <v>35</v>
      </c>
      <c r="D20" s="62"/>
      <c r="E20" s="64"/>
      <c r="F20" s="57"/>
    </row>
    <row r="21" spans="1:6" ht="12.75">
      <c r="A21" s="36" t="s">
        <v>54</v>
      </c>
      <c r="B21" s="39">
        <f>IF(B18&lt;325.01,0,MIN(Berechnung!B16,595000)*0.21/100)</f>
        <v>264.6</v>
      </c>
      <c r="C21" s="8" t="s">
        <v>35</v>
      </c>
      <c r="D21" s="62"/>
      <c r="E21" s="64" t="s">
        <v>82</v>
      </c>
      <c r="F21" s="57"/>
    </row>
    <row r="22" spans="1:6" ht="12.75">
      <c r="A22" s="48" t="s">
        <v>81</v>
      </c>
      <c r="B22" s="49">
        <f>Berechnung!B22</f>
        <v>957.74</v>
      </c>
      <c r="C22" s="47" t="s">
        <v>35</v>
      </c>
      <c r="D22" s="62"/>
      <c r="E22" s="85" t="s">
        <v>89</v>
      </c>
      <c r="F22" s="57"/>
    </row>
    <row r="23" spans="1:6" ht="12.75">
      <c r="A23" s="34" t="s">
        <v>53</v>
      </c>
      <c r="B23" s="83">
        <f>IF(B4=1,0.67,0.6)</f>
        <v>0.6</v>
      </c>
      <c r="C23" s="8"/>
      <c r="D23" s="62"/>
      <c r="E23" s="64"/>
      <c r="F23" s="57"/>
    </row>
    <row r="24" spans="1:6" ht="12.75">
      <c r="A24" s="87" t="s">
        <v>83</v>
      </c>
      <c r="B24" s="40">
        <f>ROUND(B22*B23,2)</f>
        <v>574.64</v>
      </c>
      <c r="C24" s="44" t="s">
        <v>35</v>
      </c>
      <c r="D24" s="62"/>
      <c r="E24" s="58" t="s">
        <v>68</v>
      </c>
      <c r="F24" s="57"/>
    </row>
    <row r="25" spans="1:6" ht="12.75">
      <c r="A25" s="30"/>
      <c r="B25" s="31"/>
      <c r="C25" s="7"/>
      <c r="D25" s="61"/>
      <c r="E25" s="67" t="s">
        <v>56</v>
      </c>
      <c r="F25" s="57"/>
    </row>
    <row r="26" spans="1:6" ht="12.75">
      <c r="A26" s="50" t="s">
        <v>67</v>
      </c>
      <c r="B26" s="51">
        <f>IF(B15-B24&gt;0,B15-B24,0)</f>
        <v>1205.48</v>
      </c>
      <c r="C26" s="52" t="s">
        <v>35</v>
      </c>
      <c r="D26" s="61"/>
      <c r="E26" s="68"/>
      <c r="F26" s="57"/>
    </row>
    <row r="27" spans="1:6" ht="13.5" thickBot="1">
      <c r="A27" s="34"/>
      <c r="B27" s="35"/>
      <c r="C27" s="72"/>
      <c r="D27" s="73"/>
      <c r="E27" s="84" t="s">
        <v>94</v>
      </c>
      <c r="F27" s="74"/>
    </row>
    <row r="28" spans="1:6" ht="12.75">
      <c r="A28" s="91" t="s">
        <v>69</v>
      </c>
      <c r="B28" s="91"/>
      <c r="C28" s="70" t="s">
        <v>70</v>
      </c>
      <c r="D28" s="70"/>
      <c r="E28" s="70"/>
      <c r="F28" s="71"/>
    </row>
    <row r="29" spans="1:6" ht="12.75">
      <c r="A29" s="93" t="s">
        <v>85</v>
      </c>
      <c r="B29" s="94"/>
      <c r="C29" s="92" t="s">
        <v>86</v>
      </c>
      <c r="D29" s="92"/>
      <c r="E29" s="92"/>
      <c r="F29" s="71"/>
    </row>
    <row r="30" spans="1:5" ht="12.75">
      <c r="A30" s="28"/>
      <c r="B30" s="90"/>
      <c r="C30" s="90"/>
      <c r="D30" s="90"/>
      <c r="E30" s="90"/>
    </row>
    <row r="31" spans="1:5" ht="12.75">
      <c r="A31" s="32"/>
      <c r="B31" s="77"/>
      <c r="C31" s="33"/>
      <c r="D31" s="29"/>
      <c r="E31" s="78"/>
    </row>
    <row r="32" spans="1:5" ht="12.75">
      <c r="A32" s="89"/>
      <c r="B32" s="89"/>
      <c r="C32" s="25"/>
      <c r="D32" s="25"/>
      <c r="E32" s="79"/>
    </row>
    <row r="33" spans="1:5" ht="12.75">
      <c r="A33" s="26"/>
      <c r="B33" s="27"/>
      <c r="C33" s="27"/>
      <c r="D33" s="27"/>
      <c r="E33" s="27"/>
    </row>
    <row r="34" spans="1:5" ht="12.75">
      <c r="A34" s="28"/>
      <c r="B34" s="90"/>
      <c r="C34" s="90"/>
      <c r="D34" s="90"/>
      <c r="E34" s="90"/>
    </row>
  </sheetData>
  <sheetProtection/>
  <mergeCells count="6">
    <mergeCell ref="A32:B32"/>
    <mergeCell ref="B34:E34"/>
    <mergeCell ref="A28:B28"/>
    <mergeCell ref="B30:E30"/>
    <mergeCell ref="C29:E29"/>
    <mergeCell ref="A29:B29"/>
  </mergeCells>
  <conditionalFormatting sqref="B16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7">
      <formula1>0</formula1>
      <formula2>1</formula2>
    </dataValidation>
    <dataValidation type="whole" allowBlank="1" showInputMessage="1" showErrorMessage="1" sqref="B16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5:E35" r:id="rId1" display="http://www.parmentier.de/steuer/lohnsteuer2007.xls"/>
    <hyperlink ref="E25" r:id="rId2" display="http://www.lohn-info.de/kurzarbeitergeld.html"/>
    <hyperlink ref="C28:E28" r:id="rId3" display="http://www.parmentier.de/steuer/steuer01.htm"/>
    <hyperlink ref="C29:E29" r:id="rId4" display="parmentier.ffm@t-online.de"/>
    <hyperlink ref="C29" r:id="rId5" display="steuer@parmentier.de"/>
    <hyperlink ref="E4" r:id="rId6" display="Verordnung über das pauschalierte Nettoentgelt (KUG) 2016"/>
  </hyperlinks>
  <printOptions/>
  <pageMargins left="0.787401575" right="0.787401575" top="0.984251969" bottom="0.984251969" header="0.4921259845" footer="0.4921259845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4">
      <selection activeCell="H24" sqref="H24"/>
    </sheetView>
  </sheetViews>
  <sheetFormatPr defaultColWidth="10.7109375" defaultRowHeight="12.75"/>
  <cols>
    <col min="1" max="1" width="15.00390625" style="1" customWidth="1"/>
    <col min="2" max="3" width="11.421875" style="1" customWidth="1"/>
    <col min="4" max="4" width="12.00390625" style="1" customWidth="1"/>
    <col min="5" max="5" width="14.00390625" style="1" customWidth="1"/>
    <col min="6" max="6" width="11.421875" style="1" customWidth="1"/>
    <col min="7" max="7" width="12.00390625" style="1" customWidth="1"/>
    <col min="8" max="8" width="14.00390625" style="1" customWidth="1"/>
    <col min="9" max="16384" width="10.7109375" style="1" customWidth="1"/>
  </cols>
  <sheetData>
    <row r="2" spans="1:8" ht="12.75">
      <c r="A2" s="19" t="s">
        <v>90</v>
      </c>
      <c r="B2" s="45"/>
      <c r="D2" s="19" t="s">
        <v>91</v>
      </c>
      <c r="E2" s="19" t="s">
        <v>78</v>
      </c>
      <c r="G2" s="19" t="s">
        <v>91</v>
      </c>
      <c r="H2" s="19" t="s">
        <v>79</v>
      </c>
    </row>
    <row r="3" spans="4:8" ht="12.75">
      <c r="D3" s="1" t="s">
        <v>41</v>
      </c>
      <c r="E3" s="13">
        <f>B5*12</f>
        <v>6480000</v>
      </c>
      <c r="G3" s="1" t="s">
        <v>41</v>
      </c>
      <c r="H3" s="13">
        <f>B16*12</f>
        <v>1512000</v>
      </c>
    </row>
    <row r="4" spans="1:8" ht="12.75">
      <c r="A4" s="46" t="s">
        <v>51</v>
      </c>
      <c r="B4" s="81">
        <f>ROUNDDOWN((Eingabe!B8*100+1000)/2000,0)*2000</f>
        <v>540000</v>
      </c>
      <c r="D4" s="1" t="s">
        <v>0</v>
      </c>
      <c r="E4" s="14">
        <f>Eingabe!B3</f>
        <v>1</v>
      </c>
      <c r="G4" s="1" t="s">
        <v>0</v>
      </c>
      <c r="H4" s="14">
        <f>E4</f>
        <v>1</v>
      </c>
    </row>
    <row r="5" spans="1:8" ht="12.75">
      <c r="A5" s="1" t="s">
        <v>46</v>
      </c>
      <c r="B5" s="82">
        <f>IF(B4&gt;IF(Eingabe!B5=0,620000,540000),IF(Eingabe!B5=0,620000,540000),B4)</f>
        <v>540000</v>
      </c>
      <c r="D5" s="1" t="s">
        <v>80</v>
      </c>
      <c r="E5" s="21">
        <f>IF(E3&gt;IF(Eingabe!B5=0,620000,540000),IF(Eingabe!B5=0,620000,540000),E3)</f>
        <v>620000</v>
      </c>
      <c r="G5" s="1" t="s">
        <v>80</v>
      </c>
      <c r="H5" s="21">
        <f>IF(H3&gt;IF(Eingabe!B5=0,620000,540000),IF(Eingabe!B5=0,620000,540000),H3)</f>
        <v>620000</v>
      </c>
    </row>
    <row r="6" spans="1:2" ht="12.75">
      <c r="A6" s="1" t="s">
        <v>58</v>
      </c>
      <c r="B6" s="1">
        <f>E54/100</f>
        <v>1231.41</v>
      </c>
    </row>
    <row r="7" spans="1:8" ht="12.75">
      <c r="A7" s="1" t="s">
        <v>48</v>
      </c>
      <c r="B7" s="18">
        <f>E64/100</f>
        <v>67.72</v>
      </c>
      <c r="D7" s="9" t="s">
        <v>2</v>
      </c>
      <c r="E7" s="10"/>
      <c r="G7" s="9" t="s">
        <v>2</v>
      </c>
      <c r="H7" s="10"/>
    </row>
    <row r="8" spans="1:8" ht="12.75">
      <c r="A8" s="1" t="s">
        <v>47</v>
      </c>
      <c r="B8" s="18">
        <f>B6+B7</f>
        <v>1299.13</v>
      </c>
      <c r="D8" s="1" t="s">
        <v>3</v>
      </c>
      <c r="E8" s="15">
        <f>E3/100</f>
        <v>64800</v>
      </c>
      <c r="G8" s="1" t="s">
        <v>3</v>
      </c>
      <c r="H8" s="15">
        <f>H3/100</f>
        <v>15120</v>
      </c>
    </row>
    <row r="9" spans="1:8" ht="12.75">
      <c r="A9" s="1" t="s">
        <v>49</v>
      </c>
      <c r="B9" s="1">
        <f>0.21</f>
        <v>0.21</v>
      </c>
      <c r="D9" s="1" t="s">
        <v>25</v>
      </c>
      <c r="E9" s="15">
        <f>MIN(E3/100,E5*12)</f>
        <v>64800</v>
      </c>
      <c r="G9" s="1" t="s">
        <v>25</v>
      </c>
      <c r="H9" s="15">
        <f>H3/100</f>
        <v>15120</v>
      </c>
    </row>
    <row r="10" spans="1:8" ht="12.75">
      <c r="A10" s="1" t="s">
        <v>47</v>
      </c>
      <c r="B10" s="18">
        <f>ROUNDDOWN(MIN(B5,620000)*B9/100,2)+B8</f>
        <v>2433.13</v>
      </c>
      <c r="E10" s="18"/>
      <c r="H10" s="18"/>
    </row>
    <row r="11" spans="1:8" ht="12.75">
      <c r="A11" s="10" t="s">
        <v>50</v>
      </c>
      <c r="B11" s="55">
        <f>MIN(B5/100,6200)-B10</f>
        <v>2966.87</v>
      </c>
      <c r="D11" s="9" t="s">
        <v>4</v>
      </c>
      <c r="E11" s="10"/>
      <c r="G11" s="9" t="s">
        <v>4</v>
      </c>
      <c r="H11" s="10"/>
    </row>
    <row r="12" spans="4:8" ht="12.75">
      <c r="D12" s="1" t="s">
        <v>5</v>
      </c>
      <c r="E12" s="1">
        <f>IF(E4=3,2,1)</f>
        <v>1</v>
      </c>
      <c r="G12" s="1" t="s">
        <v>5</v>
      </c>
      <c r="H12" s="1">
        <f>IF(H4=3,2,1)</f>
        <v>1</v>
      </c>
    </row>
    <row r="13" spans="4:8" ht="12.75">
      <c r="D13" s="1" t="s">
        <v>6</v>
      </c>
      <c r="E13" s="1">
        <v>1000</v>
      </c>
      <c r="G13" s="1" t="s">
        <v>6</v>
      </c>
      <c r="H13" s="1">
        <v>1000</v>
      </c>
    </row>
    <row r="14" spans="4:8" ht="12.75">
      <c r="D14" s="1" t="s">
        <v>29</v>
      </c>
      <c r="E14" s="1">
        <f>IF(E4=2,1908,0)</f>
        <v>0</v>
      </c>
      <c r="G14" s="1" t="s">
        <v>29</v>
      </c>
      <c r="H14" s="1">
        <f>IF(H4=2,1908,0)</f>
        <v>0</v>
      </c>
    </row>
    <row r="15" spans="1:8" ht="12.75">
      <c r="A15" s="10" t="s">
        <v>52</v>
      </c>
      <c r="B15" s="13">
        <f>ROUNDDOWN((Eingabe!B17*100+1000)/2000,0)*2000</f>
        <v>126000</v>
      </c>
      <c r="D15" s="1" t="s">
        <v>7</v>
      </c>
      <c r="E15" s="1">
        <f>IF(E4&gt;5,0,36)</f>
        <v>36</v>
      </c>
      <c r="G15" s="1" t="s">
        <v>7</v>
      </c>
      <c r="H15" s="1">
        <f>IF(H4&gt;5,0,36)</f>
        <v>36</v>
      </c>
    </row>
    <row r="16" spans="1:8" ht="12.75">
      <c r="A16" s="1" t="s">
        <v>46</v>
      </c>
      <c r="B16" s="1">
        <f>IF(B15&gt;IF(Eingabe!B5=0,620000,540000),IF(Eingabe!B5=0,620000,540000),B15)</f>
        <v>126000</v>
      </c>
      <c r="D16" s="1" t="s">
        <v>8</v>
      </c>
      <c r="E16" s="1">
        <f>IF(E4=6,0,E13+E14+E15)</f>
        <v>1036</v>
      </c>
      <c r="G16" s="1" t="s">
        <v>8</v>
      </c>
      <c r="H16" s="1">
        <f>IF(H4=6,0,H13+H14+H15)</f>
        <v>1036</v>
      </c>
    </row>
    <row r="17" spans="1:2" ht="12.75">
      <c r="A17" s="1" t="s">
        <v>58</v>
      </c>
      <c r="B17" s="1">
        <f>H54/100</f>
        <v>37.66</v>
      </c>
    </row>
    <row r="18" spans="1:8" ht="12.75">
      <c r="A18" s="1" t="s">
        <v>48</v>
      </c>
      <c r="B18" s="1">
        <f>H64/100</f>
        <v>0</v>
      </c>
      <c r="D18" s="9" t="s">
        <v>30</v>
      </c>
      <c r="E18" s="11"/>
      <c r="F18" s="17"/>
      <c r="G18" s="9" t="s">
        <v>30</v>
      </c>
      <c r="H18" s="11"/>
    </row>
    <row r="19" spans="1:8" ht="12.75">
      <c r="A19" s="1" t="s">
        <v>47</v>
      </c>
      <c r="B19" s="1">
        <f>B17+B18</f>
        <v>37.66</v>
      </c>
      <c r="D19" s="1" t="s">
        <v>25</v>
      </c>
      <c r="E19" s="18">
        <f>MIN(E5*0.12,E9)</f>
        <v>64800</v>
      </c>
      <c r="G19" s="1" t="s">
        <v>25</v>
      </c>
      <c r="H19" s="18">
        <f>MIN(H5*0.12,H9)</f>
        <v>15120</v>
      </c>
    </row>
    <row r="20" spans="1:8" ht="12.75">
      <c r="A20" s="1" t="s">
        <v>49</v>
      </c>
      <c r="B20" s="1">
        <f>0.21</f>
        <v>0.21</v>
      </c>
      <c r="D20" s="1" t="s">
        <v>31</v>
      </c>
      <c r="E20" s="18">
        <f>0.64*E19*0.0935</f>
        <v>3877.632</v>
      </c>
      <c r="G20" s="1" t="s">
        <v>31</v>
      </c>
      <c r="H20" s="18">
        <f>0.64*H19*0.0935</f>
        <v>904.7808000000001</v>
      </c>
    </row>
    <row r="21" spans="1:8" ht="12.75">
      <c r="A21" s="1" t="s">
        <v>47</v>
      </c>
      <c r="B21" s="1">
        <f>ROUNDDOWN(MIN(B16,620000)*B9/100,2)+B19</f>
        <v>302.26</v>
      </c>
      <c r="D21" s="16" t="s">
        <v>33</v>
      </c>
      <c r="E21" s="18">
        <f>IF(E12=1,1900,3000)</f>
        <v>1900</v>
      </c>
      <c r="G21" s="16" t="s">
        <v>33</v>
      </c>
      <c r="H21" s="18">
        <f>IF(H12=1,1900,3000)</f>
        <v>1900</v>
      </c>
    </row>
    <row r="22" spans="1:8" ht="12.75">
      <c r="A22" s="10" t="s">
        <v>50</v>
      </c>
      <c r="B22" s="55">
        <f>B16/100-B21</f>
        <v>957.74</v>
      </c>
      <c r="D22" s="16" t="s">
        <v>32</v>
      </c>
      <c r="E22" s="18">
        <f>MIN(E21,0.12*E19)</f>
        <v>1900</v>
      </c>
      <c r="G22" s="16" t="s">
        <v>32</v>
      </c>
      <c r="H22" s="18">
        <f>MIN(H21,0.12*H19)</f>
        <v>1814.3999999999999</v>
      </c>
    </row>
    <row r="23" spans="4:8" ht="12.75">
      <c r="D23" s="16" t="s">
        <v>95</v>
      </c>
      <c r="E23" s="80">
        <f>0.09275</f>
        <v>0.09275</v>
      </c>
      <c r="G23" s="16" t="s">
        <v>95</v>
      </c>
      <c r="H23" s="80">
        <f>0.09275</f>
        <v>0.09275</v>
      </c>
    </row>
    <row r="24" spans="4:8" ht="12.75">
      <c r="D24" s="16" t="s">
        <v>76</v>
      </c>
      <c r="E24" s="18">
        <f>MIN(E8,50850)*E23</f>
        <v>4716.3375</v>
      </c>
      <c r="G24" s="16" t="s">
        <v>76</v>
      </c>
      <c r="H24" s="18">
        <f>MIN(H8,50850)*H23</f>
        <v>1402.3799999999999</v>
      </c>
    </row>
    <row r="25" spans="4:8" ht="12.75">
      <c r="D25" s="16" t="s">
        <v>77</v>
      </c>
      <c r="E25" s="18">
        <f>IF(E24&gt;E21,E24,E22)</f>
        <v>4716.3375</v>
      </c>
      <c r="G25" s="16" t="s">
        <v>77</v>
      </c>
      <c r="H25" s="18">
        <f>IF(H24&gt;H21,H24,H22)</f>
        <v>1814.3999999999999</v>
      </c>
    </row>
    <row r="26" spans="4:8" ht="12.75">
      <c r="D26" s="16" t="s">
        <v>34</v>
      </c>
      <c r="E26" s="18">
        <f>ROUNDUP(E20+E25,0)</f>
        <v>8594</v>
      </c>
      <c r="G26" s="16" t="s">
        <v>34</v>
      </c>
      <c r="H26" s="18">
        <f>ROUNDUP(H20+H25,0)</f>
        <v>2720</v>
      </c>
    </row>
    <row r="27" spans="4:8" ht="12.75">
      <c r="D27" s="16"/>
      <c r="E27" s="18"/>
      <c r="G27" s="16"/>
      <c r="H27" s="18"/>
    </row>
    <row r="28" spans="4:8" ht="12.75">
      <c r="D28" s="9" t="s">
        <v>20</v>
      </c>
      <c r="E28" s="10"/>
      <c r="G28" s="9" t="s">
        <v>20</v>
      </c>
      <c r="H28" s="10"/>
    </row>
    <row r="29" spans="4:8" ht="12.75">
      <c r="D29" s="1" t="s">
        <v>9</v>
      </c>
      <c r="E29" s="15">
        <f>ROUNDDOWN(E8-E16-E26,0)</f>
        <v>55170</v>
      </c>
      <c r="G29" s="1" t="s">
        <v>9</v>
      </c>
      <c r="H29" s="15">
        <f>ROUNDDOWN(H8-H16-H26,0)</f>
        <v>11364</v>
      </c>
    </row>
    <row r="30" spans="4:8" ht="12.75">
      <c r="D30" s="1" t="s">
        <v>15</v>
      </c>
      <c r="E30" s="15">
        <f>MAX(0,ROUNDDOWN(E29/E12,0))</f>
        <v>55170</v>
      </c>
      <c r="G30" s="1" t="s">
        <v>15</v>
      </c>
      <c r="H30" s="15">
        <f>MAX(0,ROUNDDOWN(H29/H12,0))</f>
        <v>11364</v>
      </c>
    </row>
    <row r="32" spans="4:8" ht="12.75">
      <c r="D32" s="9" t="s">
        <v>92</v>
      </c>
      <c r="E32" s="10"/>
      <c r="G32" s="9" t="s">
        <v>92</v>
      </c>
      <c r="H32" s="10"/>
    </row>
    <row r="33" spans="4:8" ht="12.75">
      <c r="D33" s="1" t="s">
        <v>11</v>
      </c>
      <c r="E33" s="1">
        <f>IF(E30&lt;=8652,0,IF(E30&lt;=13669,INT((993.62*(E30-8652)/10000+1400)*(E30-8652)/10000),IF(E30&lt;=53665,INT((225.4*(E30-13669)/10000+2397)*(E30-13669)/10000+952.48),IF(E30&lt;=254446,INT(E30*0.42-8394.14),INT(E30*0.45-16027.52)))))*E12</f>
        <v>14777</v>
      </c>
      <c r="G33" s="1" t="s">
        <v>11</v>
      </c>
      <c r="H33" s="1">
        <f>IF(H30&lt;=8652,0,IF(H30&lt;=13669,INT((993.62*(H30-8652)/10000+1400)*(H30-8652)/10000),IF(H30&lt;=53665,INT((225.4*(H30-13669)/10000+2397)*(H30-13669)/10000+952.48),IF(H30&lt;=254446,INT(H30*0.42-8394.14),INT(H30*0.45-16027.52)))))*H12</f>
        <v>452</v>
      </c>
    </row>
    <row r="34" spans="4:7" ht="12.75">
      <c r="D34" s="12"/>
      <c r="G34" s="12"/>
    </row>
    <row r="35" spans="4:8" ht="12.75">
      <c r="D35" s="9" t="s">
        <v>14</v>
      </c>
      <c r="E35" s="10"/>
      <c r="G35" s="9" t="s">
        <v>14</v>
      </c>
      <c r="H35" s="10"/>
    </row>
    <row r="36" spans="5:8" ht="12.75">
      <c r="E36" s="15"/>
      <c r="H36" s="15"/>
    </row>
    <row r="37" spans="4:8" ht="12.75">
      <c r="D37" s="1" t="s">
        <v>10</v>
      </c>
      <c r="E37" s="15">
        <f>MIN(26832,E30)*1.25</f>
        <v>33540</v>
      </c>
      <c r="G37" s="1" t="s">
        <v>10</v>
      </c>
      <c r="H37" s="15">
        <f>MIN(26832,H30)*1.25</f>
        <v>14205</v>
      </c>
    </row>
    <row r="38" spans="4:8" ht="12.75">
      <c r="D38" s="1" t="s">
        <v>16</v>
      </c>
      <c r="E38" s="1">
        <f>IF(E37&lt;=8652,0,IF(E37&lt;=13669,INT((993.62*(E37-8652)/10000+1400)*(E37-8652)/10000),IF(E37&lt;=53665,INT((225.4*(E37-13669)/10000+2397)*(E37-13669)/10000+952.48),IF(E37&lt;=254446,INT(E37*0.42-8394.14),INT(E37*0.45-16027.52)))))</f>
        <v>6605</v>
      </c>
      <c r="G38" s="1" t="s">
        <v>16</v>
      </c>
      <c r="H38" s="1">
        <f>IF(H37&lt;=8652,0,IF(H37&lt;=13669,INT((993.62*(H37-8652)/10000+1400)*(H37-8652)/10000),IF(H37&lt;=53665,INT((225.4*(H37-13669)/10000+2397)*(H37-13669)/10000+952.48),IF(H37&lt;=254446,INT(H37*0.42-8394.14),INT(H37*0.45-16027.52)))))</f>
        <v>1081</v>
      </c>
    </row>
    <row r="39" spans="4:8" ht="12.75">
      <c r="D39" s="1" t="s">
        <v>10</v>
      </c>
      <c r="E39" s="15">
        <f>MIN(26832,E30)*0.75</f>
        <v>20124</v>
      </c>
      <c r="G39" s="1" t="s">
        <v>10</v>
      </c>
      <c r="H39" s="15">
        <f>MIN(26832,H30)*0.75</f>
        <v>8523</v>
      </c>
    </row>
    <row r="40" spans="4:8" ht="12.75">
      <c r="D40" s="1" t="s">
        <v>17</v>
      </c>
      <c r="E40" s="1">
        <f>IF(E39&lt;=8652,0,IF(E39&lt;=13669,INT((993.62*(E39-8652)/10000+1400)*(E39-8652)/10000),IF(E39&lt;=53665,INT((225.4*(E39-13669)/10000+2397)*(E39-13669)/10000+952.48),IF(E39&lt;=254446,INT(E39*0.42-8394.14),INT(E39*0.45-16027.52)))))</f>
        <v>2593</v>
      </c>
      <c r="G40" s="1" t="s">
        <v>17</v>
      </c>
      <c r="H40" s="1">
        <f>IF(H39&lt;=8652,0,IF(H39&lt;=13669,INT((993.62*(H39-8652)/10000+1400)*(H39-8652)/10000),IF(H39&lt;=53665,INT((225.4*(H39-13669)/10000+2397)*(H39-13669)/10000+952.48),IF(H39&lt;=254446,INT(H39*0.42-8394.14),INT(H39*0.45-16027.52)))))</f>
        <v>0</v>
      </c>
    </row>
    <row r="41" spans="4:8" ht="12.75">
      <c r="D41" s="1" t="s">
        <v>18</v>
      </c>
      <c r="E41" s="15">
        <f>(E38-E40)*2</f>
        <v>8024</v>
      </c>
      <c r="G41" s="1" t="s">
        <v>18</v>
      </c>
      <c r="H41" s="15">
        <f>(H38-H40)*2</f>
        <v>2162</v>
      </c>
    </row>
    <row r="42" spans="4:8" ht="12.75">
      <c r="D42" s="1" t="s">
        <v>19</v>
      </c>
      <c r="E42" s="1">
        <f>ROUNDDOWN(MIN(E30,26832)*0.14,0)</f>
        <v>3756</v>
      </c>
      <c r="G42" s="1" t="s">
        <v>19</v>
      </c>
      <c r="H42" s="1">
        <f>ROUNDDOWN(MIN(H30,26832)*0.14,0)</f>
        <v>1590</v>
      </c>
    </row>
    <row r="43" spans="4:8" ht="12.75">
      <c r="D43" s="1" t="s">
        <v>11</v>
      </c>
      <c r="E43" s="15">
        <f>MAX(E41,E42)</f>
        <v>8024</v>
      </c>
      <c r="G43" s="1" t="s">
        <v>11</v>
      </c>
      <c r="H43" s="15">
        <f>MAX(H41,H42)</f>
        <v>2162</v>
      </c>
    </row>
    <row r="44" spans="4:8" ht="12.75">
      <c r="D44" s="1" t="s">
        <v>11</v>
      </c>
      <c r="E44" s="15">
        <f>IF(E30&gt;203557,(203557-26832)*0.42+E43,ROUNDDOWN(MAX(E30-26832,0)*0.42+E43,0))</f>
        <v>19925</v>
      </c>
      <c r="G44" s="1" t="s">
        <v>11</v>
      </c>
      <c r="H44" s="15">
        <f>IF(H30&gt;203557,(203557-26832)*0.42+H43,ROUNDDOWN(MAX(H30-26832,0)*0.42+H43,0))</f>
        <v>2162</v>
      </c>
    </row>
    <row r="45" spans="4:8" ht="12.75">
      <c r="D45" s="1" t="s">
        <v>39</v>
      </c>
      <c r="E45" s="1">
        <f>IF(AND(E30&gt;10070,E30&lt;=26832),E43,0)</f>
        <v>0</v>
      </c>
      <c r="G45" s="1" t="s">
        <v>39</v>
      </c>
      <c r="H45" s="1">
        <f>IF(AND(H30&gt;10070,H30&lt;=26832),H43,0)</f>
        <v>2162</v>
      </c>
    </row>
    <row r="46" spans="4:10" ht="12.75">
      <c r="D46" s="1" t="s">
        <v>11</v>
      </c>
      <c r="E46" s="15">
        <v>1409.8</v>
      </c>
      <c r="G46" s="1" t="s">
        <v>11</v>
      </c>
      <c r="H46" s="15">
        <v>1409.8</v>
      </c>
      <c r="J46" s="88" t="s">
        <v>93</v>
      </c>
    </row>
    <row r="47" spans="4:8" ht="12.75">
      <c r="D47" s="1" t="s">
        <v>11</v>
      </c>
      <c r="E47" s="15">
        <f>MIN(ROUNDDOWN(MAX(E30-10070,0)*0.42+E46,0),E44)</f>
        <v>19925</v>
      </c>
      <c r="G47" s="1" t="s">
        <v>11</v>
      </c>
      <c r="H47" s="15">
        <f>MIN(ROUNDDOWN(MAX(H30-10070,0)*0.42+H46,0),H44)</f>
        <v>1953</v>
      </c>
    </row>
    <row r="48" spans="4:8" ht="12.75">
      <c r="D48" s="1" t="s">
        <v>40</v>
      </c>
      <c r="E48" s="15">
        <f>ROUNDDOWN(MAX(E30-203557,0)*0.45+E47,0)</f>
        <v>19925</v>
      </c>
      <c r="G48" s="1" t="s">
        <v>40</v>
      </c>
      <c r="H48" s="15">
        <f>ROUNDDOWN(MAX(H30-203557,0)*0.45+H47,0)</f>
        <v>1953</v>
      </c>
    </row>
    <row r="49" spans="4:8" ht="12.75">
      <c r="D49" s="1" t="s">
        <v>12</v>
      </c>
      <c r="E49" s="1">
        <f>IF(E4&lt;5,E33,E48)</f>
        <v>14777</v>
      </c>
      <c r="G49" s="1" t="s">
        <v>12</v>
      </c>
      <c r="H49" s="1">
        <f>IF(H4&lt;5,H33,H48)</f>
        <v>452</v>
      </c>
    </row>
    <row r="50" spans="4:8" ht="12.75">
      <c r="D50" s="1" t="s">
        <v>1</v>
      </c>
      <c r="E50" s="1">
        <f>E49*100</f>
        <v>1477700</v>
      </c>
      <c r="G50" s="1" t="s">
        <v>1</v>
      </c>
      <c r="H50" s="1">
        <f>H49*100</f>
        <v>45200</v>
      </c>
    </row>
    <row r="52" spans="4:8" ht="12.75">
      <c r="D52" s="9" t="s">
        <v>38</v>
      </c>
      <c r="E52" s="10"/>
      <c r="G52" s="9" t="s">
        <v>38</v>
      </c>
      <c r="H52" s="10"/>
    </row>
    <row r="54" spans="4:8" ht="12.75">
      <c r="D54" s="1" t="s">
        <v>28</v>
      </c>
      <c r="E54" s="1">
        <f>ROUNDDOWN(E50/12,0)</f>
        <v>123141</v>
      </c>
      <c r="G54" s="1" t="s">
        <v>28</v>
      </c>
      <c r="H54" s="1">
        <f>ROUNDDOWN(H50/12,0)</f>
        <v>3766</v>
      </c>
    </row>
    <row r="56" spans="4:8" ht="12.75">
      <c r="D56" s="9" t="s">
        <v>21</v>
      </c>
      <c r="E56" s="10"/>
      <c r="G56" s="9" t="s">
        <v>21</v>
      </c>
      <c r="H56" s="10"/>
    </row>
    <row r="57" spans="4:8" ht="12.75">
      <c r="D57" s="1" t="s">
        <v>22</v>
      </c>
      <c r="E57" s="1">
        <f>972*E12</f>
        <v>972</v>
      </c>
      <c r="G57" s="1" t="s">
        <v>22</v>
      </c>
      <c r="H57" s="1">
        <f>972*H12</f>
        <v>972</v>
      </c>
    </row>
    <row r="58" spans="4:8" ht="12.75">
      <c r="D58" s="1" t="s">
        <v>23</v>
      </c>
      <c r="E58" s="18">
        <f>ROUNDDOWN((E49*5.5)/100,2)</f>
        <v>812.73</v>
      </c>
      <c r="G58" s="1" t="s">
        <v>23</v>
      </c>
      <c r="H58" s="18">
        <f>ROUNDDOWN((H49*5.5)/100,2)</f>
        <v>24.86</v>
      </c>
    </row>
    <row r="59" spans="4:8" ht="12.75">
      <c r="D59" s="1" t="s">
        <v>24</v>
      </c>
      <c r="E59" s="18">
        <f>((E49-E57)*20)/100</f>
        <v>2761</v>
      </c>
      <c r="G59" s="1" t="s">
        <v>24</v>
      </c>
      <c r="H59" s="18">
        <f>((H49-H57)*20)/100</f>
        <v>-104</v>
      </c>
    </row>
    <row r="60" spans="4:8" ht="12.75">
      <c r="D60" s="1" t="s">
        <v>23</v>
      </c>
      <c r="E60" s="18">
        <f>MIN(E59,E58)</f>
        <v>812.73</v>
      </c>
      <c r="G60" s="1" t="s">
        <v>23</v>
      </c>
      <c r="H60" s="18">
        <f>MIN(H59,H58)</f>
        <v>-104</v>
      </c>
    </row>
    <row r="61" spans="4:8" ht="12.75">
      <c r="D61" s="1" t="s">
        <v>1</v>
      </c>
      <c r="E61" s="1">
        <f>E60*100</f>
        <v>81273</v>
      </c>
      <c r="G61" s="1" t="s">
        <v>1</v>
      </c>
      <c r="H61" s="1">
        <f>H60*100</f>
        <v>-10400</v>
      </c>
    </row>
    <row r="63" spans="4:8" ht="12.75">
      <c r="D63" s="9" t="s">
        <v>37</v>
      </c>
      <c r="E63" s="10"/>
      <c r="G63" s="9" t="s">
        <v>37</v>
      </c>
      <c r="H63" s="10"/>
    </row>
    <row r="64" spans="4:8" ht="12.75">
      <c r="D64" s="1" t="s">
        <v>13</v>
      </c>
      <c r="E64" s="1">
        <f>MAX(ROUNDDOWN(E61/12,0),0)</f>
        <v>6772</v>
      </c>
      <c r="G64" s="1" t="s">
        <v>13</v>
      </c>
      <c r="H64" s="1">
        <f>MAX(ROUNDDOWN(H61/12,0),0)</f>
        <v>0</v>
      </c>
    </row>
    <row r="68" spans="4:7" ht="12.75">
      <c r="D68" s="12"/>
      <c r="G6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http://www.parmentier.de/steuer/kurzarbeitergeld2009.xls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Leistungsätze bei Kurzarbeitergeld 2013</dc:title>
  <dc:subject>Berechnung mit Zellfunktionen</dc:subject>
  <dc:creator>Wolfgang 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2016-01-26T13:45:52Z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