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5" yWindow="65461" windowWidth="13995" windowHeight="8685" activeTab="0"/>
  </bookViews>
  <sheets>
    <sheet name="Eingabe" sheetId="1" r:id="rId1"/>
    <sheet name="Berechnung" sheetId="2" r:id="rId2"/>
  </sheets>
  <definedNames/>
  <calcPr fullCalcOnLoad="1" iterate="1" iterateCount="3" iterateDelta="0.001"/>
</workbook>
</file>

<file path=xl/sharedStrings.xml><?xml version="1.0" encoding="utf-8"?>
<sst xmlns="http://schemas.openxmlformats.org/spreadsheetml/2006/main" count="141" uniqueCount="106">
  <si>
    <t>ALTER1</t>
  </si>
  <si>
    <t>KRV</t>
  </si>
  <si>
    <t>LZZ</t>
  </si>
  <si>
    <t>RE4</t>
  </si>
  <si>
    <t>STKL</t>
  </si>
  <si>
    <t>ZKF</t>
  </si>
  <si>
    <t>JW</t>
  </si>
  <si>
    <t>ALTE</t>
  </si>
  <si>
    <t>RE4LZZ</t>
  </si>
  <si>
    <t>MRE4</t>
  </si>
  <si>
    <t>ZRE4</t>
  </si>
  <si>
    <t>MZTABFB</t>
  </si>
  <si>
    <t>KZTAB</t>
  </si>
  <si>
    <t>ANP</t>
  </si>
  <si>
    <t>SAP</t>
  </si>
  <si>
    <t>KFB</t>
  </si>
  <si>
    <t>ZTABFB</t>
  </si>
  <si>
    <t>VSPO</t>
  </si>
  <si>
    <t>VSPVOR</t>
  </si>
  <si>
    <t>VSPMAX1</t>
  </si>
  <si>
    <t>VSPMAX2</t>
  </si>
  <si>
    <t>VSPKURZ</t>
  </si>
  <si>
    <t>VSP</t>
  </si>
  <si>
    <t>ZVE</t>
  </si>
  <si>
    <t>X</t>
  </si>
  <si>
    <t>ST</t>
  </si>
  <si>
    <t>LSTJAHR</t>
  </si>
  <si>
    <t>ANTEIL1</t>
  </si>
  <si>
    <t>MST5-6</t>
  </si>
  <si>
    <t>ZZX</t>
  </si>
  <si>
    <t>ZX</t>
  </si>
  <si>
    <t>ST1</t>
  </si>
  <si>
    <t>ST2</t>
  </si>
  <si>
    <t>DIFF</t>
  </si>
  <si>
    <t>MIST</t>
  </si>
  <si>
    <t>MVSP</t>
  </si>
  <si>
    <t>UMVSP</t>
  </si>
  <si>
    <t>JBMG</t>
  </si>
  <si>
    <t>MSOLZ</t>
  </si>
  <si>
    <t>SOLZFREI</t>
  </si>
  <si>
    <t>SOLZJ</t>
  </si>
  <si>
    <t>SOLZMIN</t>
  </si>
  <si>
    <t>BK</t>
  </si>
  <si>
    <t>UPANTEIL</t>
  </si>
  <si>
    <t>HOCH</t>
  </si>
  <si>
    <t>HINZUR</t>
  </si>
  <si>
    <t>RE4LZZV</t>
  </si>
  <si>
    <t>ZRE4VP</t>
  </si>
  <si>
    <t>Lohnsteuer</t>
  </si>
  <si>
    <t>Solidaritätszuschlag</t>
  </si>
  <si>
    <t>Kirchensteuer</t>
  </si>
  <si>
    <t>LSTLZZ</t>
  </si>
  <si>
    <t>SOLZLZZ</t>
  </si>
  <si>
    <t>EFA</t>
  </si>
  <si>
    <t>ZVE, X</t>
  </si>
  <si>
    <t xml:space="preserve"> </t>
  </si>
  <si>
    <t>UPEVP</t>
  </si>
  <si>
    <t>VSP1</t>
  </si>
  <si>
    <t>VSP2</t>
  </si>
  <si>
    <t>VHB</t>
  </si>
  <si>
    <t>VSPN</t>
  </si>
  <si>
    <t>Steuerpflichtiger Arbeitslohn</t>
  </si>
  <si>
    <t>€</t>
  </si>
  <si>
    <t>Lohnsteuerberechnung 2006 mit Zellfunktionen</t>
  </si>
  <si>
    <t>im Jahr=1, Monat=2, Woche=3, Tag=4</t>
  </si>
  <si>
    <t>Steuerklasse 1 - 6</t>
  </si>
  <si>
    <t xml:space="preserve">Das Programm ist FreeWare. Es kann von jedem nach seinen </t>
  </si>
  <si>
    <t>allgemeine(=0) oder besondere (=1) Lsttabelle</t>
  </si>
  <si>
    <t>Wünschen verändert werden. Das Layout ist einfachst gestaltet.</t>
  </si>
  <si>
    <r>
      <t xml:space="preserve">Kinderfreibetrag (0, </t>
    </r>
    <r>
      <rPr>
        <b/>
        <sz val="10"/>
        <rFont val="Arial"/>
        <family val="2"/>
      </rPr>
      <t>0.5</t>
    </r>
    <r>
      <rPr>
        <sz val="10"/>
        <rFont val="Arial"/>
        <family val="0"/>
      </rPr>
      <t xml:space="preserve">, 1, </t>
    </r>
    <r>
      <rPr>
        <b/>
        <sz val="10"/>
        <rFont val="Arial"/>
        <family val="2"/>
      </rPr>
      <t xml:space="preserve">1.5, </t>
    </r>
    <r>
      <rPr>
        <sz val="10"/>
        <rFont val="Arial"/>
        <family val="2"/>
      </rPr>
      <t>2.0</t>
    </r>
    <r>
      <rPr>
        <b/>
        <sz val="10"/>
        <rFont val="Arial"/>
        <family val="2"/>
      </rPr>
      <t>, 2.5</t>
    </r>
    <r>
      <rPr>
        <sz val="10"/>
        <rFont val="Arial"/>
        <family val="0"/>
      </rPr>
      <t xml:space="preserve"> usw)</t>
    </r>
  </si>
  <si>
    <r>
      <t xml:space="preserve">Zur Anzeige der Zellfunktionen auf </t>
    </r>
    <r>
      <rPr>
        <b/>
        <sz val="10"/>
        <rFont val="Arial"/>
        <family val="2"/>
      </rPr>
      <t xml:space="preserve">Extras_Optionen... </t>
    </r>
    <r>
      <rPr>
        <sz val="10"/>
        <rFont val="Arial"/>
        <family val="2"/>
      </rPr>
      <t>gehen</t>
    </r>
  </si>
  <si>
    <t>Kirchensteuer (0=keine, 8=8%, 9=9%)</t>
  </si>
  <si>
    <t>%</t>
  </si>
  <si>
    <r>
      <t>und bei</t>
    </r>
    <r>
      <rPr>
        <b/>
        <sz val="10"/>
        <rFont val="Arial"/>
        <family val="2"/>
      </rPr>
      <t xml:space="preserve"> Ansicht</t>
    </r>
    <r>
      <rPr>
        <sz val="10"/>
        <rFont val="Arial"/>
        <family val="0"/>
      </rPr>
      <t xml:space="preserve"> unter </t>
    </r>
    <r>
      <rPr>
        <b/>
        <sz val="10"/>
        <rFont val="Arial"/>
        <family val="2"/>
      </rPr>
      <t xml:space="preserve">Fensteroptionen </t>
    </r>
    <r>
      <rPr>
        <sz val="10"/>
        <rFont val="Arial"/>
        <family val="2"/>
      </rPr>
      <t>Kästchen</t>
    </r>
    <r>
      <rPr>
        <b/>
        <sz val="10"/>
        <rFont val="Arial"/>
        <family val="2"/>
      </rPr>
      <t xml:space="preserve"> Formeln</t>
    </r>
  </si>
  <si>
    <t>Krankenversicherung 0=privat, z.B 14,9=14,9%</t>
  </si>
  <si>
    <t>aktivieren.</t>
  </si>
  <si>
    <t>kinderlos, über 23jährig (PflegeV)  nein=0 ja=1</t>
  </si>
  <si>
    <t>Ostdeutschland nein=0 ja=1</t>
  </si>
  <si>
    <t>Sachsen nein=0 ja=1</t>
  </si>
  <si>
    <r>
      <t xml:space="preserve">Zum </t>
    </r>
    <r>
      <rPr>
        <b/>
        <sz val="10"/>
        <rFont val="Arial"/>
        <family val="2"/>
      </rPr>
      <t>Berechnen</t>
    </r>
    <r>
      <rPr>
        <sz val="10"/>
        <rFont val="Arial"/>
        <family val="0"/>
      </rPr>
      <t xml:space="preserve"> gewünschte Werte eingeben und </t>
    </r>
    <r>
      <rPr>
        <b/>
        <sz val="10"/>
        <color indexed="10"/>
        <rFont val="Arial"/>
        <family val="2"/>
      </rPr>
      <t>Eingabe</t>
    </r>
  </si>
  <si>
    <t>mit "ENTER"-Taste abschließen.</t>
  </si>
  <si>
    <t>(Jahres)lohnsteuerfreibetrag auf LStKarte</t>
  </si>
  <si>
    <t>Rentenversicherung</t>
  </si>
  <si>
    <t>Pflegeversicherung</t>
  </si>
  <si>
    <t>Arbeitslosenversicherung</t>
  </si>
  <si>
    <t>Abzüge</t>
  </si>
  <si>
    <t>Nettolohn</t>
  </si>
  <si>
    <t xml:space="preserve"> Weitere Lohn- und Einkommensteuerberechnungsprogramme unter</t>
  </si>
  <si>
    <t>http://www.parmentier.de/steuer/steuer01.htm</t>
  </si>
  <si>
    <t>Wolfgang Parmentier Frankfurt am Main e-Mail: parmentier.ffm@t-online.de</t>
  </si>
  <si>
    <t>geboren vor 1941=1, 1941=2, nach 1941=0</t>
  </si>
  <si>
    <t>TAB4</t>
  </si>
  <si>
    <t>TAB5</t>
  </si>
  <si>
    <t>ALTEANTEIL</t>
  </si>
  <si>
    <t>MRE4LZZ</t>
  </si>
  <si>
    <t>LST 2006</t>
  </si>
  <si>
    <t>JFREIB</t>
  </si>
  <si>
    <t>Krankenversicherung (incl. 0,9% Sonder-AN-Anteil)</t>
  </si>
  <si>
    <t>Die Zellfunktionen für die Berechnung der Sozialversicherungsbei-</t>
  </si>
  <si>
    <t>(Jahres)Hinzurechnungen</t>
  </si>
  <si>
    <t>träge befinden sich in den nebenstehenden Zellen B20-B23 und be-</t>
  </si>
  <si>
    <t>ziehen sich auf die Zellen B2-B11</t>
  </si>
  <si>
    <t>SOLZ</t>
  </si>
  <si>
    <t>MLSTJAHR</t>
  </si>
  <si>
    <t>VSPGÜNST</t>
  </si>
  <si>
    <t>Stand 30.5.2006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</si>
</sst>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"/>
    <numFmt numFmtId="174" formatCode="0.000000"/>
    <numFmt numFmtId="175" formatCode="0.000"/>
    <numFmt numFmtId="176" formatCode="#,##0_ ;\-#,##0\ "/>
    <numFmt numFmtId="177" formatCode="0_ ;\-0\ 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_-* #,##0.00\ [$€-1]_-;\-* #,##0.00\ [$€-1]_-;_-* &quot;-&quot;??\ [$€-1]_-"/>
    <numFmt numFmtId="182" formatCode="0.0000_ ;\-0.0000\ "/>
    <numFmt numFmtId="183" formatCode="0.000_ ;\-0.000\ "/>
    <numFmt numFmtId="184" formatCode="#,##0.000\ _€;\-#,##0.000\ _€"/>
    <numFmt numFmtId="185" formatCode="0.00_ ;\-0.00\ "/>
    <numFmt numFmtId="186" formatCode="0.0_ ;\-0.0\ "/>
    <numFmt numFmtId="187" formatCode="#,##0.00_ ;\-#,##0.00\ "/>
  </numFmts>
  <fonts count="5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color indexed="18"/>
      <name val="Arial"/>
      <family val="2"/>
    </font>
    <font>
      <sz val="10"/>
      <color indexed="5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0" fillId="0" borderId="11" xfId="0" applyNumberFormat="1" applyBorder="1" applyAlignment="1">
      <alignment/>
    </xf>
    <xf numFmtId="0" fontId="0" fillId="33" borderId="0" xfId="0" applyFont="1" applyFill="1" applyAlignment="1">
      <alignment/>
    </xf>
    <xf numFmtId="181" fontId="0" fillId="0" borderId="0" xfId="0" applyNumberFormat="1" applyAlignment="1">
      <alignment horizontal="center"/>
    </xf>
    <xf numFmtId="172" fontId="0" fillId="0" borderId="11" xfId="0" applyNumberFormat="1" applyBorder="1" applyAlignment="1">
      <alignment/>
    </xf>
    <xf numFmtId="0" fontId="1" fillId="3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12" xfId="0" applyBorder="1" applyAlignment="1">
      <alignment horizontal="center"/>
    </xf>
    <xf numFmtId="0" fontId="7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8" fillId="0" borderId="10" xfId="0" applyFont="1" applyBorder="1" applyAlignment="1">
      <alignment/>
    </xf>
    <xf numFmtId="0" fontId="5" fillId="33" borderId="0" xfId="48" applyFill="1" applyAlignment="1" applyProtection="1">
      <alignment horizontal="center"/>
      <protection/>
    </xf>
    <xf numFmtId="0" fontId="10" fillId="33" borderId="0" xfId="0" applyFont="1" applyFill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11" fillId="33" borderId="15" xfId="0" applyFont="1" applyFill="1" applyBorder="1" applyAlignment="1">
      <alignment horizontal="right"/>
    </xf>
    <xf numFmtId="0" fontId="5" fillId="34" borderId="0" xfId="48" applyFill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8" xfId="0" applyFont="1" applyBorder="1" applyAlignment="1">
      <alignment/>
    </xf>
    <xf numFmtId="0" fontId="13" fillId="33" borderId="0" xfId="0" applyFont="1" applyFill="1" applyAlignment="1">
      <alignment/>
    </xf>
    <xf numFmtId="0" fontId="13" fillId="33" borderId="0" xfId="48" applyFont="1" applyFill="1" applyAlignment="1" applyProtection="1">
      <alignment horizontal="left"/>
      <protection/>
    </xf>
    <xf numFmtId="0" fontId="13" fillId="33" borderId="0" xfId="48" applyFont="1" applyFill="1" applyAlignment="1" applyProtection="1">
      <alignment/>
      <protection/>
    </xf>
    <xf numFmtId="0" fontId="0" fillId="35" borderId="0" xfId="0" applyFill="1" applyAlignment="1">
      <alignment/>
    </xf>
    <xf numFmtId="0" fontId="14" fillId="35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1" fillId="36" borderId="0" xfId="0" applyFont="1" applyFill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2" fontId="0" fillId="36" borderId="0" xfId="0" applyNumberFormat="1" applyFill="1" applyAlignment="1" applyProtection="1">
      <alignment/>
      <protection hidden="1"/>
    </xf>
    <xf numFmtId="2" fontId="1" fillId="36" borderId="0" xfId="0" applyNumberFormat="1" applyFont="1" applyFill="1" applyAlignment="1" applyProtection="1">
      <alignment/>
      <protection hidden="1"/>
    </xf>
    <xf numFmtId="0" fontId="1" fillId="37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177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hidden="1"/>
    </xf>
    <xf numFmtId="177" fontId="0" fillId="0" borderId="0" xfId="0" applyNumberForma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2" fontId="0" fillId="0" borderId="0" xfId="0" applyNumberForma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2" fontId="0" fillId="0" borderId="19" xfId="0" applyNumberFormat="1" applyBorder="1" applyAlignment="1">
      <alignment/>
    </xf>
    <xf numFmtId="2" fontId="4" fillId="0" borderId="2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1" fillId="0" borderId="11" xfId="0" applyNumberFormat="1" applyFont="1" applyFill="1" applyBorder="1" applyAlignment="1">
      <alignment wrapText="1"/>
    </xf>
    <xf numFmtId="187" fontId="0" fillId="0" borderId="10" xfId="59" applyNumberFormat="1" applyFont="1" applyBorder="1" applyAlignment="1">
      <alignment/>
    </xf>
    <xf numFmtId="0" fontId="15" fillId="38" borderId="14" xfId="0" applyFont="1" applyFill="1" applyBorder="1" applyAlignment="1">
      <alignment/>
    </xf>
    <xf numFmtId="2" fontId="15" fillId="38" borderId="19" xfId="0" applyNumberFormat="1" applyFont="1" applyFill="1" applyBorder="1" applyAlignment="1">
      <alignment/>
    </xf>
    <xf numFmtId="0" fontId="15" fillId="38" borderId="15" xfId="0" applyFont="1" applyFill="1" applyBorder="1" applyAlignment="1">
      <alignment horizontal="center"/>
    </xf>
    <xf numFmtId="0" fontId="8" fillId="0" borderId="14" xfId="0" applyFont="1" applyBorder="1" applyAlignment="1">
      <alignment/>
    </xf>
    <xf numFmtId="187" fontId="0" fillId="0" borderId="14" xfId="59" applyNumberFormat="1" applyFont="1" applyBorder="1" applyAlignment="1">
      <alignment/>
    </xf>
    <xf numFmtId="0" fontId="15" fillId="38" borderId="22" xfId="0" applyFont="1" applyFill="1" applyBorder="1" applyAlignment="1">
      <alignment/>
    </xf>
    <xf numFmtId="2" fontId="15" fillId="38" borderId="23" xfId="0" applyNumberFormat="1" applyFont="1" applyFill="1" applyBorder="1" applyAlignment="1">
      <alignment/>
    </xf>
    <xf numFmtId="0" fontId="15" fillId="38" borderId="24" xfId="0" applyFont="1" applyFill="1" applyBorder="1" applyAlignment="1">
      <alignment horizontal="center"/>
    </xf>
    <xf numFmtId="0" fontId="12" fillId="34" borderId="25" xfId="0" applyFont="1" applyFill="1" applyBorder="1" applyAlignment="1">
      <alignment horizontal="left"/>
    </xf>
    <xf numFmtId="0" fontId="12" fillId="34" borderId="0" xfId="0" applyFont="1" applyFill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winsoftware.de/" TargetMode="External" /><Relationship Id="rId3" Type="http://schemas.openxmlformats.org/officeDocument/2006/relationships/hyperlink" Target="http://www.winsoftware.d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24</xdr:row>
      <xdr:rowOff>0</xdr:rowOff>
    </xdr:from>
    <xdr:to>
      <xdr:col>4</xdr:col>
      <xdr:colOff>876300</xdr:colOff>
      <xdr:row>25</xdr:row>
      <xdr:rowOff>123825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3895725"/>
          <a:ext cx="819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steuer01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" width="45.8515625" style="0" customWidth="1"/>
    <col min="2" max="2" width="12.8515625" style="0" bestFit="1" customWidth="1"/>
    <col min="3" max="3" width="3.00390625" style="0" customWidth="1"/>
    <col min="4" max="4" width="2.7109375" style="0" customWidth="1"/>
    <col min="5" max="5" width="55.7109375" style="0" customWidth="1"/>
  </cols>
  <sheetData>
    <row r="1" spans="1:5" ht="12.75">
      <c r="A1" s="2"/>
      <c r="B1" s="3"/>
      <c r="C1" s="4"/>
      <c r="D1" s="5"/>
      <c r="E1" s="6"/>
    </row>
    <row r="2" spans="1:5" ht="12.75">
      <c r="A2" s="38" t="s">
        <v>61</v>
      </c>
      <c r="B2" s="57">
        <v>2000</v>
      </c>
      <c r="C2" s="20" t="s">
        <v>62</v>
      </c>
      <c r="D2" s="35"/>
      <c r="E2" s="36" t="s">
        <v>63</v>
      </c>
    </row>
    <row r="3" spans="1:7" ht="12.75">
      <c r="A3" s="2" t="s">
        <v>64</v>
      </c>
      <c r="B3" s="7">
        <v>2</v>
      </c>
      <c r="C3" s="4"/>
      <c r="D3" s="5"/>
      <c r="E3" s="8"/>
      <c r="G3" s="37"/>
    </row>
    <row r="4" spans="1:5" ht="12.75">
      <c r="A4" s="2" t="s">
        <v>65</v>
      </c>
      <c r="B4" s="7">
        <v>1</v>
      </c>
      <c r="C4" s="9"/>
      <c r="D4" s="5"/>
      <c r="E4" s="8" t="s">
        <v>66</v>
      </c>
    </row>
    <row r="5" spans="1:5" ht="12.75">
      <c r="A5" s="2" t="s">
        <v>67</v>
      </c>
      <c r="B5" s="7">
        <v>0</v>
      </c>
      <c r="C5" s="4"/>
      <c r="D5" s="5"/>
      <c r="E5" s="8" t="s">
        <v>68</v>
      </c>
    </row>
    <row r="6" spans="1:5" ht="12.75">
      <c r="A6" s="2" t="s">
        <v>69</v>
      </c>
      <c r="B6" s="7">
        <v>0</v>
      </c>
      <c r="C6" s="4"/>
      <c r="D6" s="5"/>
      <c r="E6" s="5" t="s">
        <v>70</v>
      </c>
    </row>
    <row r="7" spans="1:5" ht="12.75">
      <c r="A7" s="2" t="s">
        <v>71</v>
      </c>
      <c r="B7" s="7">
        <v>9</v>
      </c>
      <c r="C7" s="4" t="s">
        <v>72</v>
      </c>
      <c r="D7" s="5"/>
      <c r="E7" s="5" t="s">
        <v>73</v>
      </c>
    </row>
    <row r="8" spans="1:5" ht="12.75">
      <c r="A8" s="2" t="s">
        <v>74</v>
      </c>
      <c r="B8" s="10">
        <v>14.4</v>
      </c>
      <c r="C8" s="4" t="s">
        <v>72</v>
      </c>
      <c r="D8" s="5"/>
      <c r="E8" s="5" t="s">
        <v>75</v>
      </c>
    </row>
    <row r="9" spans="1:5" ht="12.75">
      <c r="A9" s="2" t="s">
        <v>76</v>
      </c>
      <c r="B9" s="7">
        <v>1</v>
      </c>
      <c r="C9" s="4"/>
      <c r="D9" s="5"/>
      <c r="E9" s="8"/>
    </row>
    <row r="10" spans="1:5" ht="12.75">
      <c r="A10" s="2" t="s">
        <v>77</v>
      </c>
      <c r="B10" s="7">
        <v>0</v>
      </c>
      <c r="C10" s="4"/>
      <c r="D10" s="5"/>
      <c r="E10" s="8"/>
    </row>
    <row r="11" spans="1:5" ht="12.75">
      <c r="A11" s="2" t="s">
        <v>78</v>
      </c>
      <c r="B11" s="7">
        <v>0</v>
      </c>
      <c r="C11" s="4"/>
      <c r="D11" s="5"/>
      <c r="E11" s="11"/>
    </row>
    <row r="12" spans="1:5" ht="12.75">
      <c r="A12" s="2" t="s">
        <v>90</v>
      </c>
      <c r="B12" s="7">
        <v>0</v>
      </c>
      <c r="C12" s="4"/>
      <c r="D12" s="5"/>
      <c r="E12" s="5" t="s">
        <v>79</v>
      </c>
    </row>
    <row r="13" spans="1:5" ht="12.75">
      <c r="A13" s="30" t="s">
        <v>99</v>
      </c>
      <c r="B13" s="55">
        <v>0</v>
      </c>
      <c r="C13" s="12" t="s">
        <v>62</v>
      </c>
      <c r="D13" s="13"/>
      <c r="E13" s="14" t="s">
        <v>80</v>
      </c>
    </row>
    <row r="14" spans="1:5" ht="13.5" thickBot="1">
      <c r="A14" s="31" t="s">
        <v>81</v>
      </c>
      <c r="B14" s="56">
        <v>0</v>
      </c>
      <c r="C14" s="15" t="s">
        <v>62</v>
      </c>
      <c r="D14" s="13"/>
      <c r="E14" s="5"/>
    </row>
    <row r="15" spans="1:5" ht="12.75">
      <c r="A15" s="16"/>
      <c r="B15" s="17"/>
      <c r="C15" s="12"/>
      <c r="D15" s="13"/>
      <c r="E15" s="8"/>
    </row>
    <row r="16" spans="1:5" ht="12.75">
      <c r="A16" s="18"/>
      <c r="B16" s="19"/>
      <c r="C16" s="20"/>
      <c r="D16" s="13"/>
      <c r="E16" s="11"/>
    </row>
    <row r="17" spans="1:5" ht="12.75">
      <c r="A17" s="21" t="s">
        <v>48</v>
      </c>
      <c r="B17" s="58">
        <f>Berechnung!B84/100</f>
        <v>260</v>
      </c>
      <c r="C17" s="4" t="s">
        <v>62</v>
      </c>
      <c r="D17" s="13"/>
      <c r="E17" s="22"/>
    </row>
    <row r="18" spans="1:5" ht="12.75">
      <c r="A18" s="21" t="s">
        <v>49</v>
      </c>
      <c r="B18" s="58">
        <f>Berechnung!B100/100</f>
        <v>14.3</v>
      </c>
      <c r="C18" s="4" t="s">
        <v>62</v>
      </c>
      <c r="D18" s="13"/>
      <c r="E18" s="23"/>
    </row>
    <row r="19" spans="1:5" ht="12.75">
      <c r="A19" s="62" t="s">
        <v>50</v>
      </c>
      <c r="B19" s="63">
        <f>ROUNDDOWN(Berechnung!B105*B7/10000,2)</f>
        <v>23.4</v>
      </c>
      <c r="C19" s="25" t="s">
        <v>62</v>
      </c>
      <c r="D19" s="13"/>
      <c r="E19" s="32"/>
    </row>
    <row r="20" spans="1:5" ht="12.75">
      <c r="A20" s="59" t="s">
        <v>82</v>
      </c>
      <c r="B20" s="60">
        <f>IF(B5=0,ROUND(IF(B3=1,IF(B2&gt;IF(B10=1,52800,63000),IF(B10=1,52800,63000),B2),IF(B3=2,IF(B2&gt;IF(B10=1,4400,5250),IF(B10=1,4400,5250),B2),IF(B3=3,IF(B2&gt;IF(B10=1,1026.67,1225),IF(B10=1,1026.67,1225),B2),IF(B2&gt;IF(B10=1,146.67,175.17),IF(B10=1,146.67,175.17),B2))))*0.0975,2),0)</f>
        <v>195</v>
      </c>
      <c r="C20" s="61" t="s">
        <v>62</v>
      </c>
      <c r="D20" s="13"/>
      <c r="E20" s="32" t="s">
        <v>98</v>
      </c>
    </row>
    <row r="21" spans="1:5" ht="12.75">
      <c r="A21" s="64" t="s">
        <v>97</v>
      </c>
      <c r="B21" s="65">
        <f>IF(B8=0,0,ROUND(IF(B3=1,IF(B2&gt;42750,42750,B2),IF(B3=2,IF(B2&gt;3562.5,3562.5,B2),IF(B3=3,IF(B2&gt;831.25,831.25,B2),IF(B2&gt;118.75,118.75,B2))))*(B8/200+0.009),2))</f>
        <v>162</v>
      </c>
      <c r="C21" s="66" t="s">
        <v>62</v>
      </c>
      <c r="D21" s="13"/>
      <c r="E21" s="33" t="s">
        <v>100</v>
      </c>
    </row>
    <row r="22" spans="1:5" ht="12.75">
      <c r="A22" s="64" t="s">
        <v>83</v>
      </c>
      <c r="B22" s="65">
        <f>IF(B8=0,0,ROUND(IF(B3=1,IF(B2&gt;42750,42750,B2),IF(B3=2,IF(B2&gt;3562.5,3562.5,B2),IF(B3=3,IF(B2&gt;831.25,831.25,B2),IF(B2&gt;118.75,118.75,B2))))*(IF(B11=1,0.0135,0.0085)+IF(AND(B9=1,B6=0),0.0025,0)),2))</f>
        <v>22</v>
      </c>
      <c r="C22" s="66" t="s">
        <v>62</v>
      </c>
      <c r="D22" s="13"/>
      <c r="E22" s="34" t="s">
        <v>101</v>
      </c>
    </row>
    <row r="23" spans="1:5" ht="12.75">
      <c r="A23" s="64" t="s">
        <v>84</v>
      </c>
      <c r="B23" s="65">
        <f>IF(B5=0,ROUND(IF(B3=1,IF(B2&gt;IF(B10=1,52800,63000),IF(B10=1,52800,63000),B2),IF(B3=2,IF(B2&gt;IF(B10=1,4400,5250),IF(B10=1,4400,5250),B2),IF(B3=3,IF(B2&gt;IF(B10=1,1026.67,1225),IF(B10=1,1026.67,1225),B2),IF(B2&gt;IF(B10=1,146.67,175.17),IF(B10=1,146.67,175.17),B2))))*0.0325,2),0)</f>
        <v>65</v>
      </c>
      <c r="C23" s="66" t="s">
        <v>62</v>
      </c>
      <c r="D23" s="13"/>
      <c r="E23" s="23"/>
    </row>
    <row r="24" spans="1:5" ht="12.75">
      <c r="A24" s="2"/>
      <c r="B24" s="3"/>
      <c r="C24" s="4"/>
      <c r="D24" s="13"/>
      <c r="E24" s="23"/>
    </row>
    <row r="25" spans="1:5" ht="12.75">
      <c r="A25" s="24" t="s">
        <v>85</v>
      </c>
      <c r="B25" s="53">
        <f>SUM(B17:B24)</f>
        <v>741.7</v>
      </c>
      <c r="C25" s="25" t="s">
        <v>62</v>
      </c>
      <c r="D25" s="13"/>
      <c r="E25" s="22"/>
    </row>
    <row r="26" spans="1:5" ht="13.5" thickBot="1">
      <c r="A26" s="26" t="s">
        <v>86</v>
      </c>
      <c r="B26" s="54">
        <f>B2-B25</f>
        <v>1258.3</v>
      </c>
      <c r="C26" s="27" t="s">
        <v>62</v>
      </c>
      <c r="D26" s="13"/>
      <c r="E26" s="28" t="s">
        <v>105</v>
      </c>
    </row>
    <row r="27" spans="1:5" ht="12.75">
      <c r="A27" s="67" t="s">
        <v>87</v>
      </c>
      <c r="B27" s="67"/>
      <c r="C27" s="67"/>
      <c r="D27" s="67"/>
      <c r="E27" s="29" t="s">
        <v>88</v>
      </c>
    </row>
    <row r="28" spans="1:5" ht="12.75">
      <c r="A28" s="68" t="s">
        <v>89</v>
      </c>
      <c r="B28" s="68"/>
      <c r="C28" s="68"/>
      <c r="D28" s="68"/>
      <c r="E28" s="68"/>
    </row>
  </sheetData>
  <sheetProtection/>
  <mergeCells count="2">
    <mergeCell ref="A27:D27"/>
    <mergeCell ref="A28:E28"/>
  </mergeCells>
  <dataValidations count="5">
    <dataValidation type="whole" allowBlank="1" showInputMessage="1" showErrorMessage="1" sqref="B3">
      <formula1>1</formula1>
      <formula2>4</formula2>
    </dataValidation>
    <dataValidation type="whole" allowBlank="1" showInputMessage="1" showErrorMessage="1" sqref="B4">
      <formula1>1</formula1>
      <formula2>6</formula2>
    </dataValidation>
    <dataValidation type="whole" allowBlank="1" showInputMessage="1" showErrorMessage="1" sqref="B10:B11">
      <formula1>0</formula1>
      <formula2>1</formula2>
    </dataValidation>
    <dataValidation type="whole" operator="notBetween" allowBlank="1" showInputMessage="1" showErrorMessage="1" sqref="B7">
      <formula1>1</formula1>
      <formula2>7</formula2>
    </dataValidation>
    <dataValidation type="whole" allowBlank="1" showInputMessage="1" showErrorMessage="1" sqref="B12">
      <formula1>0</formula1>
      <formula2>2</formula2>
    </dataValidation>
  </dataValidations>
  <hyperlinks>
    <hyperlink ref="E27" r:id="rId1" display="http://www.parmentier.de/steuer/steuer01.htm"/>
  </hyperlinks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00390625" style="1" customWidth="1"/>
    <col min="2" max="2" width="13.8515625" style="1" customWidth="1"/>
    <col min="3" max="16384" width="11.421875" style="1" customWidth="1"/>
  </cols>
  <sheetData>
    <row r="2" spans="1:2" ht="12.75">
      <c r="A2" s="43" t="s">
        <v>95</v>
      </c>
      <c r="B2" s="43"/>
    </row>
    <row r="3" spans="1:2" ht="12.75">
      <c r="A3" s="1" t="s">
        <v>0</v>
      </c>
      <c r="B3" s="1">
        <f>Eingabe!B12</f>
        <v>0</v>
      </c>
    </row>
    <row r="4" spans="1:2" ht="12.75">
      <c r="A4" s="1" t="s">
        <v>5</v>
      </c>
      <c r="B4" s="1">
        <f>Eingabe!B6</f>
        <v>0</v>
      </c>
    </row>
    <row r="5" spans="1:2" ht="12.75">
      <c r="A5" s="1" t="s">
        <v>2</v>
      </c>
      <c r="B5" s="1">
        <f>Eingabe!B3</f>
        <v>2</v>
      </c>
    </row>
    <row r="6" spans="1:2" ht="12.75">
      <c r="A6" s="1" t="s">
        <v>1</v>
      </c>
      <c r="B6" s="1">
        <f>Eingabe!B5</f>
        <v>0</v>
      </c>
    </row>
    <row r="7" spans="1:2" ht="12.75">
      <c r="A7" s="1" t="s">
        <v>3</v>
      </c>
      <c r="B7" s="45">
        <f>Eingabe!B2*100</f>
        <v>200000</v>
      </c>
    </row>
    <row r="8" spans="1:2" ht="12.75">
      <c r="A8" s="1" t="s">
        <v>4</v>
      </c>
      <c r="B8" s="46">
        <f>Eingabe!B4</f>
        <v>1</v>
      </c>
    </row>
    <row r="9" spans="1:3" ht="12.75">
      <c r="A9" s="1" t="s">
        <v>96</v>
      </c>
      <c r="B9" s="47">
        <f>ROUNDUP(IF(B5=1,Eingabe!B14,IF(B5=2,Eingabe!B14/12,IF(B5=3,(Eingabe!B14*7)/360,Eingabe!B14/360))),0)*100</f>
        <v>0</v>
      </c>
      <c r="C9" s="1" t="s">
        <v>55</v>
      </c>
    </row>
    <row r="10" spans="1:2" ht="12.75">
      <c r="A10" s="1" t="s">
        <v>45</v>
      </c>
      <c r="B10" s="48">
        <f>ROUNDUP(IF(B5=1,Eingabe!B13,IF(B5=2,Eingabe!B13/12,IF(B5=3,(Eingabe!B13*7)/360,Eingabe!B13/360))),0)*100</f>
        <v>0</v>
      </c>
    </row>
    <row r="12" spans="1:2" ht="12.75">
      <c r="A12" s="39" t="s">
        <v>94</v>
      </c>
      <c r="B12" s="40"/>
    </row>
    <row r="13" spans="1:2" ht="12.75">
      <c r="A13" s="49" t="s">
        <v>91</v>
      </c>
      <c r="B13" s="1">
        <f>IF(B3=1,0.4,0.384)</f>
        <v>0.384</v>
      </c>
    </row>
    <row r="14" spans="1:2" ht="12.75">
      <c r="A14" s="1" t="s">
        <v>92</v>
      </c>
      <c r="B14" s="1">
        <f>IF(B3=1,190000,182400)</f>
        <v>182400</v>
      </c>
    </row>
    <row r="15" spans="1:2" ht="12.75">
      <c r="A15" s="1" t="s">
        <v>93</v>
      </c>
      <c r="B15" s="48">
        <f>ROUNDUP(IF(B5=1,B14,IF(B5=2,B14/12,IF(B5=3,(B14*7)/360,B14/360))),0)</f>
        <v>15200</v>
      </c>
    </row>
    <row r="16" spans="1:2" ht="12.75">
      <c r="A16" s="1" t="s">
        <v>7</v>
      </c>
      <c r="B16" s="1">
        <f>IF(B3=0,0,IF((B7*B13)&gt;B15,B15,B7*B13))</f>
        <v>0</v>
      </c>
    </row>
    <row r="17" spans="1:2" ht="12.75">
      <c r="A17" s="1" t="s">
        <v>8</v>
      </c>
      <c r="B17" s="48">
        <f>B7-B9+B10-B16</f>
        <v>200000</v>
      </c>
    </row>
    <row r="18" spans="1:2" ht="12.75">
      <c r="A18" s="1" t="s">
        <v>46</v>
      </c>
      <c r="B18" s="48">
        <f>B7-B16</f>
        <v>200000</v>
      </c>
    </row>
    <row r="20" spans="1:2" ht="12.75">
      <c r="A20" s="39" t="s">
        <v>9</v>
      </c>
      <c r="B20" s="40"/>
    </row>
    <row r="21" spans="1:2" ht="12.75">
      <c r="A21" s="1" t="s">
        <v>10</v>
      </c>
      <c r="B21" s="51">
        <f>ROUNDDOWN(IF(B5=1,B17/100,IF(B5=2,(B17+0.67)*0.12,IF(B5=3,((B17+0.89)*3.6)/7,(B17+0.56)*3.6))),2)</f>
        <v>24000.08</v>
      </c>
    </row>
    <row r="22" spans="1:2" ht="12.75">
      <c r="A22" s="1" t="s">
        <v>47</v>
      </c>
      <c r="B22" s="51">
        <f>ROUNDDOWN(IF(B5=1,B18/100,IF(B5=2,(B18+0.67)*0.12,IF(B5=3,((B18+0.89)*3.6)/7,(B18+0.56)*3.6))),2)</f>
        <v>24000.08</v>
      </c>
    </row>
    <row r="23" ht="12.75">
      <c r="B23" s="51"/>
    </row>
    <row r="24" spans="1:2" ht="12.75">
      <c r="A24" s="39" t="s">
        <v>11</v>
      </c>
      <c r="B24" s="40"/>
    </row>
    <row r="25" spans="1:2" ht="12.75">
      <c r="A25" s="1" t="s">
        <v>12</v>
      </c>
      <c r="B25" s="1">
        <f>IF(B8=3,2,1)</f>
        <v>1</v>
      </c>
    </row>
    <row r="26" spans="1:2" ht="12.75">
      <c r="A26" s="1" t="s">
        <v>13</v>
      </c>
      <c r="B26" s="1">
        <f>IF(B8&gt;5,0,920)</f>
        <v>920</v>
      </c>
    </row>
    <row r="27" spans="1:2" ht="12.75">
      <c r="A27" s="1" t="s">
        <v>53</v>
      </c>
      <c r="B27" s="1">
        <f>IF(B8=2,1308,0)</f>
        <v>0</v>
      </c>
    </row>
    <row r="28" spans="1:2" ht="12.75">
      <c r="A28" s="1" t="s">
        <v>14</v>
      </c>
      <c r="B28" s="1">
        <f>IF(B8=3,72,IF(B8&gt;4,0,36))</f>
        <v>36</v>
      </c>
    </row>
    <row r="29" spans="1:2" ht="12.75">
      <c r="A29" s="1" t="s">
        <v>15</v>
      </c>
      <c r="B29" s="1">
        <f>IF(B8&lt;4,B4*5808,IF(B8=4,B4*2904,0))</f>
        <v>0</v>
      </c>
    </row>
    <row r="30" spans="1:3" ht="12.75">
      <c r="A30" s="1" t="s">
        <v>16</v>
      </c>
      <c r="B30" s="1">
        <f>B26+B27+B28</f>
        <v>956</v>
      </c>
      <c r="C30" s="50"/>
    </row>
    <row r="32" spans="1:2" ht="12.75">
      <c r="A32" s="39" t="s">
        <v>56</v>
      </c>
      <c r="B32" s="41"/>
    </row>
    <row r="33" spans="1:2" ht="12.75">
      <c r="A33" s="1" t="s">
        <v>47</v>
      </c>
      <c r="B33" s="51">
        <f>MIN(63000,B22)</f>
        <v>24000.08</v>
      </c>
    </row>
    <row r="34" spans="1:2" ht="12.75">
      <c r="A34" s="1" t="s">
        <v>57</v>
      </c>
      <c r="B34" s="51">
        <f>IF(B6=1,0,0.24*B33*0.0975)</f>
        <v>561.6018720000001</v>
      </c>
    </row>
    <row r="35" spans="1:2" ht="12.75">
      <c r="A35" s="49" t="s">
        <v>59</v>
      </c>
      <c r="B35" s="51">
        <f>1500*B25</f>
        <v>1500</v>
      </c>
    </row>
    <row r="36" spans="1:2" ht="12.75">
      <c r="A36" s="49" t="s">
        <v>58</v>
      </c>
      <c r="B36" s="51">
        <f>MIN(B35,0.11*B33)</f>
        <v>1500</v>
      </c>
    </row>
    <row r="37" spans="1:2" ht="12.75">
      <c r="A37" s="49" t="s">
        <v>60</v>
      </c>
      <c r="B37" s="51">
        <f>IF(B8&gt;4,0,ROUNDUP(B34+B36,0))</f>
        <v>2062</v>
      </c>
    </row>
    <row r="38" spans="1:2" ht="12.75">
      <c r="A38" s="49"/>
      <c r="B38" s="51"/>
    </row>
    <row r="39" spans="1:2" ht="12.75">
      <c r="A39" s="42" t="s">
        <v>35</v>
      </c>
      <c r="B39" s="40"/>
    </row>
    <row r="40" spans="1:2" ht="12.75">
      <c r="A40" s="1" t="s">
        <v>17</v>
      </c>
      <c r="B40" s="51">
        <f>B22*0.2</f>
        <v>4800.0160000000005</v>
      </c>
    </row>
    <row r="41" spans="1:2" ht="12.75">
      <c r="A41" s="1" t="s">
        <v>18</v>
      </c>
      <c r="B41" s="51">
        <f>3068*B25</f>
        <v>3068</v>
      </c>
    </row>
    <row r="42" spans="1:2" ht="12.75">
      <c r="A42" s="1" t="s">
        <v>19</v>
      </c>
      <c r="B42" s="1">
        <f>1334*B25</f>
        <v>1334</v>
      </c>
    </row>
    <row r="43" spans="1:2" ht="12.75">
      <c r="A43" s="1" t="s">
        <v>20</v>
      </c>
      <c r="B43" s="1">
        <f>667*B25</f>
        <v>667</v>
      </c>
    </row>
    <row r="44" spans="1:2" ht="12.75">
      <c r="A44" s="1" t="s">
        <v>21</v>
      </c>
      <c r="B44" s="1">
        <f>1134*B25</f>
        <v>1134</v>
      </c>
    </row>
    <row r="45" spans="1:2" ht="12.75">
      <c r="A45" s="1" t="s">
        <v>22</v>
      </c>
      <c r="B45" s="47">
        <f>IF(B8&gt;4,0,IF(B40&gt;B44,B44,ROUNDUP(B40,0)))</f>
        <v>1134</v>
      </c>
    </row>
    <row r="47" spans="1:2" ht="12.75">
      <c r="A47" s="39" t="s">
        <v>36</v>
      </c>
      <c r="B47" s="40"/>
    </row>
    <row r="48" spans="1:2" ht="12.75">
      <c r="A48" s="1" t="s">
        <v>18</v>
      </c>
      <c r="B48" s="51">
        <f>MAX(0,ROUNDDOWN(B41-(B22*0.16),2))</f>
        <v>0</v>
      </c>
    </row>
    <row r="49" spans="1:2" ht="12.75">
      <c r="A49" s="52" t="s">
        <v>22</v>
      </c>
      <c r="B49" s="51">
        <f>ROUNDUP(IF(B40&lt;B48,B40,IF((B40-B48)&lt;B42,B48+B40-B48,IF((B40-B48-B42)/2&lt;B43,B48+B42+(B40-B48-B42)/2,B48+B42+B43))),0)</f>
        <v>2001</v>
      </c>
    </row>
    <row r="50" spans="1:2" ht="12.75">
      <c r="A50" s="1" t="s">
        <v>104</v>
      </c>
      <c r="B50" s="51">
        <f>IF(B6=1,MAX(B45,B37),IF(B8&lt;5,MAX(B49,B37),0))</f>
        <v>2062</v>
      </c>
    </row>
    <row r="51" spans="1:2" ht="12.75">
      <c r="A51" s="1" t="s">
        <v>23</v>
      </c>
      <c r="B51" s="47">
        <f>ROUNDDOWN(B21-B30-B50,0)</f>
        <v>20982</v>
      </c>
    </row>
    <row r="52" spans="1:2" ht="12.75">
      <c r="A52" s="1" t="s">
        <v>29</v>
      </c>
      <c r="B52" s="47">
        <f>MAX(0,ROUNDDOWN(B51/B25,0))</f>
        <v>20982</v>
      </c>
    </row>
    <row r="54" spans="1:2" ht="12.75">
      <c r="A54" s="39" t="s">
        <v>103</v>
      </c>
      <c r="B54" s="40"/>
    </row>
    <row r="55" spans="1:2" ht="12.75">
      <c r="A55" s="1" t="s">
        <v>25</v>
      </c>
      <c r="B55" s="1">
        <f>IF(AND(B52&gt;7664,B52&lt;12740),INT((883.74*(B52-7664)/10000+1500)*(B52-7664)/10000),IF(AND(B52&gt;12739,B52&lt;52152),INT((228.74*(B52-12739)/10000+2397)*(B52-12739)/10000+989),IF(B52&gt;52151,INT(B52*0.42-7914),0)))*B25</f>
        <v>3120</v>
      </c>
    </row>
    <row r="56" ht="12.75">
      <c r="A56" s="44"/>
    </row>
    <row r="57" spans="1:2" ht="12.75">
      <c r="A57" s="39" t="s">
        <v>28</v>
      </c>
      <c r="B57" s="40"/>
    </row>
    <row r="58" ht="12.75">
      <c r="B58" s="47"/>
    </row>
    <row r="59" spans="1:2" ht="12.75">
      <c r="A59" s="1" t="s">
        <v>30</v>
      </c>
      <c r="B59" s="47">
        <f>MIN(25812,B52)</f>
        <v>20982</v>
      </c>
    </row>
    <row r="60" spans="1:2" ht="12.75">
      <c r="A60" s="1" t="s">
        <v>24</v>
      </c>
      <c r="B60" s="47">
        <f>B59*1.25</f>
        <v>26227.5</v>
      </c>
    </row>
    <row r="61" spans="1:2" ht="12.75">
      <c r="A61" s="1" t="s">
        <v>31</v>
      </c>
      <c r="B61" s="1">
        <f>IF(AND(B60&gt;7664,B60&lt;12740),INT((883.74*(B60-7664)/10000+1500)*(B60-7664)/10000),IF(AND(B60&gt;12739,B60&lt;52152),INT((228.74*(B60-12739)/10000+2397)*(B60-12739)/10000+989),IF(B60&gt;52151,INT(B60*0.42-7914),0)))</f>
        <v>4638</v>
      </c>
    </row>
    <row r="62" spans="1:2" ht="12.75">
      <c r="A62" s="1" t="s">
        <v>24</v>
      </c>
      <c r="B62" s="47">
        <f>B59*0.75</f>
        <v>15736.5</v>
      </c>
    </row>
    <row r="63" spans="1:2" ht="12.75">
      <c r="A63" s="1" t="s">
        <v>25</v>
      </c>
      <c r="B63" s="47">
        <f>IF(AND(B62&gt;7664,B62&lt;12740),INT((883.74*(B62-7664)/10000+1500)*(B62-7664)/10000),IF(AND(B62&gt;12739,B62&lt;52152),INT((228.74*(B62-12739)/10000+2397)*(B62-12739)/10000+989),IF(B62&gt;52151,INT(B62*0.42-7914),0)))</f>
        <v>1728</v>
      </c>
    </row>
    <row r="64" spans="1:2" ht="12.75">
      <c r="A64" s="1" t="s">
        <v>33</v>
      </c>
      <c r="B64" s="1">
        <f>(B61-B63)*2</f>
        <v>5820</v>
      </c>
    </row>
    <row r="65" spans="1:2" ht="12.75">
      <c r="A65" s="1" t="s">
        <v>34</v>
      </c>
      <c r="B65" s="1">
        <f>ROUNDDOWN(B59*0.15,0)</f>
        <v>3147</v>
      </c>
    </row>
    <row r="66" spans="1:2" ht="12.75">
      <c r="A66" s="1" t="s">
        <v>32</v>
      </c>
      <c r="B66" s="1">
        <f>MAX(B65,B64)</f>
        <v>5820</v>
      </c>
    </row>
    <row r="67" spans="1:2" ht="12.75">
      <c r="A67" s="1" t="s">
        <v>30</v>
      </c>
      <c r="B67" s="1">
        <f>IF(B52&gt;9144,9144,B66)</f>
        <v>9144</v>
      </c>
    </row>
    <row r="68" spans="1:2" ht="12.75">
      <c r="A68" s="1" t="s">
        <v>24</v>
      </c>
      <c r="B68" s="47">
        <f>B67*1.25</f>
        <v>11430</v>
      </c>
    </row>
    <row r="69" spans="1:2" ht="12.75">
      <c r="A69" s="1" t="s">
        <v>31</v>
      </c>
      <c r="B69" s="47">
        <f>IF(AND(B68&gt;7664,B68&lt;12740),INT((883.74*(B68-7664)/10000+1500)*(B68-7664)/10000),IF(AND(B68&gt;12739,B68&lt;52152),INT((228.74*(B68-12739)/10000+2397)*(B68-12739)/10000+989),IF(B68&gt;52151,INT(B68*0.42-7914),0)))</f>
        <v>690</v>
      </c>
    </row>
    <row r="70" spans="1:2" ht="12.75">
      <c r="A70" s="1" t="s">
        <v>24</v>
      </c>
      <c r="B70" s="1">
        <f>B67*0.75</f>
        <v>6858</v>
      </c>
    </row>
    <row r="71" spans="1:2" ht="12.75">
      <c r="A71" s="1" t="s">
        <v>32</v>
      </c>
      <c r="B71" s="47">
        <f>IF(AND(B70&gt;7664,B70&lt;12740),INT((883.74*(B70-7664)/10000+1500)*(B70-7664)/10000),IF(AND(B70&gt;12739,B70&lt;52152),INT((228.74*(B70-12739)/10000+2397)*(B70-12739)/10000+989),IF(B70&gt;52151,INT(B70*0.42-7914),0)))</f>
        <v>0</v>
      </c>
    </row>
    <row r="72" spans="1:2" ht="12.75">
      <c r="A72" s="1" t="s">
        <v>33</v>
      </c>
      <c r="B72" s="1">
        <f>(B69-B71)*2</f>
        <v>1380</v>
      </c>
    </row>
    <row r="73" spans="1:2" ht="12.75">
      <c r="A73" s="1" t="s">
        <v>34</v>
      </c>
      <c r="B73" s="1">
        <f>ROUNDDOWN(B67*0.15,0)</f>
        <v>1371</v>
      </c>
    </row>
    <row r="74" spans="1:2" ht="12.75">
      <c r="A74" s="1" t="s">
        <v>25</v>
      </c>
      <c r="B74" s="1">
        <f>MAX(B73,B72)</f>
        <v>1380</v>
      </c>
    </row>
    <row r="75" spans="1:2" ht="12.75">
      <c r="A75" s="1" t="s">
        <v>44</v>
      </c>
      <c r="B75" s="1">
        <f>ROUNDDOWN(B74+((B52-9144)*0.42),0)</f>
        <v>6351</v>
      </c>
    </row>
    <row r="76" spans="1:2" ht="12.75">
      <c r="A76" s="1" t="s">
        <v>25</v>
      </c>
      <c r="B76" s="1">
        <f>MIN(B75,B66)</f>
        <v>5820</v>
      </c>
    </row>
    <row r="77" spans="1:2" ht="12.75">
      <c r="A77" s="1" t="s">
        <v>25</v>
      </c>
      <c r="B77" s="1">
        <f>IF(B52&gt;25812,ROUNDDOWN(B66+((B52-25812)*0.42),0),IF(B52&gt;9144,B76,B66))</f>
        <v>5820</v>
      </c>
    </row>
    <row r="79" spans="1:2" ht="12.75">
      <c r="A79" s="1" t="s">
        <v>26</v>
      </c>
      <c r="B79" s="1">
        <f>IF(B8&lt;5,B55,B77)</f>
        <v>3120</v>
      </c>
    </row>
    <row r="80" spans="1:2" ht="12.75">
      <c r="A80" s="1" t="s">
        <v>6</v>
      </c>
      <c r="B80" s="1">
        <f>B79*100</f>
        <v>312000</v>
      </c>
    </row>
    <row r="82" spans="1:2" ht="12.75">
      <c r="A82" s="39" t="s">
        <v>43</v>
      </c>
      <c r="B82" s="40"/>
    </row>
    <row r="84" spans="1:2" ht="12.75">
      <c r="A84" s="1" t="s">
        <v>51</v>
      </c>
      <c r="B84" s="1">
        <f>IF(B5=1,B80,IF(B5=2,ROUNDDOWN(B80/12,0),IF(B5=3,ROUNDDOWN((B80*7)/360,0),ROUNDDOWN(B80/360,0))))</f>
        <v>26000</v>
      </c>
    </row>
    <row r="85" spans="1:2" ht="12.75">
      <c r="A85" s="1" t="s">
        <v>16</v>
      </c>
      <c r="B85" s="1">
        <f>B29+B30</f>
        <v>956</v>
      </c>
    </row>
    <row r="86" spans="1:2" ht="12.75">
      <c r="A86" s="1" t="s">
        <v>23</v>
      </c>
      <c r="B86" s="47">
        <f>B21-B50-B85</f>
        <v>20982.08</v>
      </c>
    </row>
    <row r="87" spans="1:2" ht="12.75">
      <c r="A87" s="1" t="s">
        <v>54</v>
      </c>
      <c r="B87" s="1">
        <f>IF(B86&lt;36,0,ROUNDDOWN(B86/B25,0))</f>
        <v>20982</v>
      </c>
    </row>
    <row r="88" spans="1:2" ht="12.75">
      <c r="A88" s="1" t="s">
        <v>25</v>
      </c>
      <c r="B88" s="1">
        <f>(IF(AND(B87&gt;7664,B87&lt;12740),INT((883.74*(B87-7664)/10000+1500)*(B87-7664)/10000),IF(AND(B87&gt;12739,B87&lt;52152),INT((228.74*(B87-12739)/10000+2397)*(B87-12739)/10000+989),IF(B87&gt;52151,INT(B87*0.42-7914),0))))*B25</f>
        <v>3120</v>
      </c>
    </row>
    <row r="89" spans="1:2" ht="12.75">
      <c r="A89" s="1" t="s">
        <v>37</v>
      </c>
      <c r="B89" s="1">
        <f>IF(B4&gt;0,B88,B79)</f>
        <v>3120</v>
      </c>
    </row>
    <row r="91" spans="1:2" ht="12.75">
      <c r="A91" s="39" t="s">
        <v>38</v>
      </c>
      <c r="B91" s="40"/>
    </row>
    <row r="92" spans="1:2" ht="12.75">
      <c r="A92" s="1" t="s">
        <v>39</v>
      </c>
      <c r="B92" s="1">
        <f>972*B25</f>
        <v>972</v>
      </c>
    </row>
    <row r="93" spans="1:2" ht="12.75">
      <c r="A93" s="1" t="s">
        <v>40</v>
      </c>
      <c r="B93" s="51">
        <f>ROUNDDOWN((B89*5.5)/100,2)</f>
        <v>171.6</v>
      </c>
    </row>
    <row r="94" spans="1:2" ht="12.75">
      <c r="A94" s="1" t="s">
        <v>41</v>
      </c>
      <c r="B94" s="51">
        <f>((B89-B92)*20)/100</f>
        <v>429.6</v>
      </c>
    </row>
    <row r="95" spans="1:5" ht="12.75">
      <c r="A95" s="1" t="s">
        <v>40</v>
      </c>
      <c r="B95" s="51">
        <f>MIN(B94,B93)</f>
        <v>171.6</v>
      </c>
      <c r="E95" s="51"/>
    </row>
    <row r="96" spans="1:2" ht="12.75">
      <c r="A96" s="1" t="s">
        <v>6</v>
      </c>
      <c r="B96" s="1">
        <f>B95*100</f>
        <v>17160</v>
      </c>
    </row>
    <row r="98" spans="1:2" ht="12.75">
      <c r="A98" s="39" t="s">
        <v>102</v>
      </c>
      <c r="B98" s="40"/>
    </row>
    <row r="99" spans="1:2" ht="12.75">
      <c r="A99" s="1" t="s">
        <v>27</v>
      </c>
      <c r="B99" s="1">
        <f>ROUNDDOWN(IF(B5=1,B96,IF(B5=2,B96/12,IF(B5=3,(B96*7)/360,B96/360))),0)</f>
        <v>1430</v>
      </c>
    </row>
    <row r="100" spans="1:2" ht="12.75">
      <c r="A100" s="1" t="s">
        <v>52</v>
      </c>
      <c r="B100" s="1">
        <f>IF(B89&gt;B92,B99,0)</f>
        <v>1430</v>
      </c>
    </row>
    <row r="101" spans="1:2" ht="12.75">
      <c r="A101" s="1" t="s">
        <v>6</v>
      </c>
      <c r="B101" s="1">
        <f>B89*100</f>
        <v>312000</v>
      </c>
    </row>
    <row r="103" spans="1:2" ht="12.75">
      <c r="A103" s="39" t="s">
        <v>42</v>
      </c>
      <c r="B103" s="40"/>
    </row>
    <row r="104" spans="1:2" ht="12.75">
      <c r="A104" s="1" t="s">
        <v>27</v>
      </c>
      <c r="B104" s="1">
        <f>ROUNDDOWN(IF(B5=1,B101,IF(B5=2,B101/12,IF(B5=3,(B101*7)/360,B101/360))),0)</f>
        <v>26000</v>
      </c>
    </row>
    <row r="105" spans="1:2" ht="12.75">
      <c r="A105" s="1" t="s">
        <v>42</v>
      </c>
      <c r="B105" s="1">
        <f>B104</f>
        <v>26000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http://www.parmentier.de/steuer/lohnsteuer2006.xls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Lohnsteuerberechnung 2006 mit Zellfunktionen</dc:title>
  <dc:subject/>
  <dc:creator>Parmentier</dc:creator>
  <cp:keywords/>
  <dc:description/>
  <cp:lastModifiedBy>Parmentier</cp:lastModifiedBy>
  <cp:lastPrinted>2006-02-07T15:12:52Z</cp:lastPrinted>
  <dcterms:created xsi:type="dcterms:W3CDTF">1999-02-09T12:11:13Z</dcterms:created>
  <dcterms:modified xsi:type="dcterms:W3CDTF">2013-04-17T13:21:34Z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