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8" yWindow="0" windowWidth="21909" windowHeight="13767" activeTab="0"/>
  </bookViews>
  <sheets>
    <sheet name="Eingabe" sheetId="1" r:id="rId1"/>
    <sheet name="Berechnung" sheetId="2" r:id="rId2"/>
  </sheets>
  <definedNames/>
  <calcPr fullCalcOnLoad="1" iterate="1" iterateCount="3" iterateDelta="0.001"/>
</workbook>
</file>

<file path=xl/sharedStrings.xml><?xml version="1.0" encoding="utf-8"?>
<sst xmlns="http://schemas.openxmlformats.org/spreadsheetml/2006/main" count="157" uniqueCount="126">
  <si>
    <t>ALTER1</t>
  </si>
  <si>
    <t>KRV</t>
  </si>
  <si>
    <t>LZZ</t>
  </si>
  <si>
    <t>STKL</t>
  </si>
  <si>
    <t>ZKF</t>
  </si>
  <si>
    <t>JW</t>
  </si>
  <si>
    <t>ALTE</t>
  </si>
  <si>
    <t>MRE4</t>
  </si>
  <si>
    <t>ZRE4</t>
  </si>
  <si>
    <t>MZTABFB</t>
  </si>
  <si>
    <t>KZTAB</t>
  </si>
  <si>
    <t>ANP</t>
  </si>
  <si>
    <t>SAP</t>
  </si>
  <si>
    <t>KFB</t>
  </si>
  <si>
    <t>ZTABFB</t>
  </si>
  <si>
    <t>ZVE</t>
  </si>
  <si>
    <t>X</t>
  </si>
  <si>
    <t>ST</t>
  </si>
  <si>
    <t>LSTJAHR</t>
  </si>
  <si>
    <t>ANTEIL1</t>
  </si>
  <si>
    <t>MST5-6</t>
  </si>
  <si>
    <t>ZZX</t>
  </si>
  <si>
    <t>ST1</t>
  </si>
  <si>
    <t>ST2</t>
  </si>
  <si>
    <t>DIFF</t>
  </si>
  <si>
    <t>MIST</t>
  </si>
  <si>
    <t>UMVSP</t>
  </si>
  <si>
    <t>JBMG</t>
  </si>
  <si>
    <t>MSOLZ</t>
  </si>
  <si>
    <t>SOLZFREI</t>
  </si>
  <si>
    <t>SOLZJ</t>
  </si>
  <si>
    <t>SOLZMIN</t>
  </si>
  <si>
    <t>BK</t>
  </si>
  <si>
    <t>ZRE4VP</t>
  </si>
  <si>
    <t>Lohnsteuer</t>
  </si>
  <si>
    <t>Solidaritätszuschlag</t>
  </si>
  <si>
    <t>Kirchensteuer</t>
  </si>
  <si>
    <t>LSTLZZ</t>
  </si>
  <si>
    <t>SOLZLZZ</t>
  </si>
  <si>
    <t>EFA</t>
  </si>
  <si>
    <t>ZVE, X</t>
  </si>
  <si>
    <t xml:space="preserve"> </t>
  </si>
  <si>
    <t>UPEVP</t>
  </si>
  <si>
    <t>VSP1</t>
  </si>
  <si>
    <t>VSP2</t>
  </si>
  <si>
    <t>VHB</t>
  </si>
  <si>
    <t>VSPN</t>
  </si>
  <si>
    <t>Steuerpflichtiger Arbeitslohn</t>
  </si>
  <si>
    <t>€</t>
  </si>
  <si>
    <t>im Jahr=1, Monat=2, Woche=3, Tag=4</t>
  </si>
  <si>
    <t>Steuerklasse 1 - 6</t>
  </si>
  <si>
    <t xml:space="preserve">Das Programm ist FreeWare. Es kann von jedem nach seinen </t>
  </si>
  <si>
    <t>allgemeine(=0) oder besondere (=1) Lsttabelle</t>
  </si>
  <si>
    <t>Wünschen verändert werden. Das Layout ist einfachst gestaltet.</t>
  </si>
  <si>
    <r>
      <t xml:space="preserve">Kinderfreibetrag (0, </t>
    </r>
    <r>
      <rPr>
        <b/>
        <sz val="10"/>
        <rFont val="Arial"/>
        <family val="2"/>
      </rPr>
      <t>0.5</t>
    </r>
    <r>
      <rPr>
        <sz val="10"/>
        <rFont val="Arial"/>
        <family val="0"/>
      </rPr>
      <t xml:space="preserve">, 1, </t>
    </r>
    <r>
      <rPr>
        <b/>
        <sz val="10"/>
        <rFont val="Arial"/>
        <family val="2"/>
      </rPr>
      <t xml:space="preserve">1.5, </t>
    </r>
    <r>
      <rPr>
        <sz val="10"/>
        <rFont val="Arial"/>
        <family val="0"/>
      </rPr>
      <t>2.0</t>
    </r>
    <r>
      <rPr>
        <b/>
        <sz val="10"/>
        <rFont val="Arial"/>
        <family val="2"/>
      </rPr>
      <t>, 2.5</t>
    </r>
    <r>
      <rPr>
        <sz val="10"/>
        <rFont val="Arial"/>
        <family val="0"/>
      </rPr>
      <t xml:space="preserve"> usw)</t>
    </r>
  </si>
  <si>
    <r>
      <t xml:space="preserve">Zur Anzeige der Zellfunktionen auf </t>
    </r>
    <r>
      <rPr>
        <b/>
        <sz val="10"/>
        <rFont val="Arial"/>
        <family val="2"/>
      </rPr>
      <t xml:space="preserve">Extras_Optionen... </t>
    </r>
    <r>
      <rPr>
        <sz val="10"/>
        <rFont val="Arial"/>
        <family val="0"/>
      </rPr>
      <t>gehen</t>
    </r>
  </si>
  <si>
    <t>Kirchensteuer (0=keine, 8=8%, 9=9%)</t>
  </si>
  <si>
    <t>%</t>
  </si>
  <si>
    <r>
      <t>und bei</t>
    </r>
    <r>
      <rPr>
        <b/>
        <sz val="10"/>
        <rFont val="Arial"/>
        <family val="2"/>
      </rPr>
      <t xml:space="preserve"> Ansicht</t>
    </r>
    <r>
      <rPr>
        <sz val="10"/>
        <rFont val="Arial"/>
        <family val="0"/>
      </rPr>
      <t xml:space="preserve"> unter </t>
    </r>
    <r>
      <rPr>
        <b/>
        <sz val="10"/>
        <rFont val="Arial"/>
        <family val="2"/>
      </rPr>
      <t xml:space="preserve">Fensteroptionen </t>
    </r>
    <r>
      <rPr>
        <sz val="10"/>
        <rFont val="Arial"/>
        <family val="0"/>
      </rPr>
      <t>Kästchen</t>
    </r>
    <r>
      <rPr>
        <b/>
        <sz val="10"/>
        <rFont val="Arial"/>
        <family val="2"/>
      </rPr>
      <t xml:space="preserve"> Formeln</t>
    </r>
  </si>
  <si>
    <t>aktivieren.</t>
  </si>
  <si>
    <r>
      <t xml:space="preserve">Zum </t>
    </r>
    <r>
      <rPr>
        <b/>
        <sz val="10"/>
        <rFont val="Arial"/>
        <family val="2"/>
      </rPr>
      <t>Berechnen</t>
    </r>
    <r>
      <rPr>
        <sz val="10"/>
        <rFont val="Arial"/>
        <family val="0"/>
      </rPr>
      <t xml:space="preserve"> gewünschte Werte eingeben und </t>
    </r>
    <r>
      <rPr>
        <b/>
        <sz val="10"/>
        <color indexed="10"/>
        <rFont val="Arial"/>
        <family val="2"/>
      </rPr>
      <t>Eingabe</t>
    </r>
  </si>
  <si>
    <t>mit "ENTER"-Taste abschließen.</t>
  </si>
  <si>
    <t>(Jahres)lohnsteuerfreibetrag auf LStKarte</t>
  </si>
  <si>
    <t>Abzüge</t>
  </si>
  <si>
    <t>Nettolohn</t>
  </si>
  <si>
    <t>http://www.parmentier.de/steuer/steuer01.htm</t>
  </si>
  <si>
    <t>TAB4</t>
  </si>
  <si>
    <t>TAB5</t>
  </si>
  <si>
    <t>ALTEANTEIL</t>
  </si>
  <si>
    <t>Die Zellfunktionen für die Berechnung der Sozialversicherungsbei-</t>
  </si>
  <si>
    <t>(Jahres)Hinzurechnungen</t>
  </si>
  <si>
    <t>träge befinden sich in den nebenstehenden Zellen B20-B23 und be-</t>
  </si>
  <si>
    <t>SOLZ</t>
  </si>
  <si>
    <t>MLSTJAHR</t>
  </si>
  <si>
    <t>VERGL</t>
  </si>
  <si>
    <t>MIT REICHST</t>
  </si>
  <si>
    <t xml:space="preserve">        Weitere Lohn- und Einkommensteuerberechnungsprogramme unter</t>
  </si>
  <si>
    <t xml:space="preserve">                    Wolfgang Parmentier Frankfurt am Main e-Mail: </t>
  </si>
  <si>
    <t>parmentier.ffm@t-online.de</t>
  </si>
  <si>
    <t>MRE4ALTE</t>
  </si>
  <si>
    <t>ZRE4J</t>
  </si>
  <si>
    <t>JLHINZU</t>
  </si>
  <si>
    <t>JLFREIB</t>
  </si>
  <si>
    <t>kinderlos u. über 23jährig (PflegeV)  nein=0 ja=1</t>
  </si>
  <si>
    <t xml:space="preserve">ziehen sich auf die Zellen B2-B11. </t>
  </si>
  <si>
    <t>Arbeitsstelle in Ostdeutschland nein=0 ja=1</t>
  </si>
  <si>
    <t>und dabei in Sachsen nein=0 ja=1</t>
  </si>
  <si>
    <t>KV</t>
  </si>
  <si>
    <t>KV&gt;VHB?</t>
  </si>
  <si>
    <t>PV%</t>
  </si>
  <si>
    <t>Bei Übernahme in eigenes Programm enstprechend anpassen</t>
  </si>
  <si>
    <t>%/€</t>
  </si>
  <si>
    <t>RV-Bemessungsgrenzen Ost/West</t>
  </si>
  <si>
    <t>PKV</t>
  </si>
  <si>
    <t>RV-BEMES</t>
  </si>
  <si>
    <t>Ehegattenfaktorenverfahren</t>
  </si>
  <si>
    <t>Zell B67 mit Faktor multiplizieren (für Lohnsteuer)</t>
  </si>
  <si>
    <t>Zell B76 mit Faktor multiplizieren (für Soli und Kirchensteuer)</t>
  </si>
  <si>
    <t>Nur wenn StKl 4 gewählt und Hinzurechnungsbetrag=0!</t>
  </si>
  <si>
    <t>FAKTOR F</t>
  </si>
  <si>
    <t>1,5% Arbeitslosenversicherung</t>
  </si>
  <si>
    <t>bzw. PKV-Basisprämie (incl. PV) - bei AG-Beitrag nur 1/2 Basis-</t>
  </si>
  <si>
    <t>Altersentlastungsbetrag</t>
  </si>
  <si>
    <r>
      <t>Ehegattenfaktor</t>
    </r>
    <r>
      <rPr>
        <sz val="9"/>
        <color indexed="18"/>
        <rFont val="Arial"/>
        <family val="2"/>
      </rPr>
      <t xml:space="preserve"> (3 Nachkommastellen) nur für StKl IV</t>
    </r>
  </si>
  <si>
    <t>Werte der Zellen B3-B15 und B40 werden von der Eingabe-Mappe geholt</t>
  </si>
  <si>
    <r>
      <t xml:space="preserve">Gleiches Lohnsteuerprogramm für </t>
    </r>
    <r>
      <rPr>
        <sz val="10"/>
        <color indexed="10"/>
        <rFont val="Arial"/>
        <family val="2"/>
      </rPr>
      <t>2011</t>
    </r>
    <r>
      <rPr>
        <sz val="10"/>
        <rFont val="Arial"/>
        <family val="0"/>
      </rPr>
      <t xml:space="preserve"> unter</t>
    </r>
  </si>
  <si>
    <t>http://www.parmentier.de/steuer/lohnsteuer2011.xls</t>
  </si>
  <si>
    <t>http://www.parmentier.de/steuer/lohnsteuer2012_netto.xls</t>
  </si>
  <si>
    <t>9,45% Rentenversicherung</t>
  </si>
  <si>
    <r>
      <t xml:space="preserve">Gleiches Lohnsteuerprogramm für </t>
    </r>
    <r>
      <rPr>
        <sz val="10"/>
        <color indexed="10"/>
        <rFont val="Arial"/>
        <family val="2"/>
      </rPr>
      <t>2012</t>
    </r>
    <r>
      <rPr>
        <sz val="10"/>
        <rFont val="Arial"/>
        <family val="0"/>
      </rPr>
      <t xml:space="preserve"> unter</t>
    </r>
  </si>
  <si>
    <t>http://www.parmentier.de/steuer/lohnsteuer2012.xls</t>
  </si>
  <si>
    <t>http://www.parmentier.de/steuer/lohnsteuer2011_netto.xls</t>
  </si>
  <si>
    <t>Programm mit Wunschnettoberechnung (mit Makro-Modul)</t>
  </si>
  <si>
    <t>http://www.parmentier.de/steuer/lohnsteuer2013_netto.xls</t>
  </si>
  <si>
    <t>Lohnsteuerberechnung 2014 mit Zellfunktionen</t>
  </si>
  <si>
    <t>=9763*1.25=12.203 davon ST = 683* 2 = 1366 bzw. auch 9763 * 14% = 1366</t>
  </si>
  <si>
    <t>LST 2014</t>
  </si>
  <si>
    <r>
      <t xml:space="preserve">Gleiches Lohnsteuerprogramm für </t>
    </r>
    <r>
      <rPr>
        <sz val="10"/>
        <color indexed="10"/>
        <rFont val="Arial"/>
        <family val="2"/>
      </rPr>
      <t>2013</t>
    </r>
    <r>
      <rPr>
        <sz val="10"/>
        <rFont val="Arial"/>
        <family val="0"/>
      </rPr>
      <t xml:space="preserve"> unter</t>
    </r>
  </si>
  <si>
    <t>http://www.parmentier.de/steuer/lohnsteuer2013.xls</t>
  </si>
  <si>
    <r>
      <t xml:space="preserve">Krankenversicherungsbeitragssatz </t>
    </r>
    <r>
      <rPr>
        <sz val="10"/>
        <rFont val="Arial"/>
        <family val="0"/>
      </rPr>
      <t>bzw. PKV-Basisprämie in €</t>
    </r>
  </si>
  <si>
    <t>Krankenkassen-Zusatzbeitragsatz (d. Arbeitnehmers)</t>
  </si>
  <si>
    <t>(seit 2011 Krankenversicherungsbeitragssatz 14,6%, reduz. 14,0%) )</t>
  </si>
  <si>
    <t xml:space="preserve">KV-Beitragssatz ohne Zusatzbeitrag eingeben! </t>
  </si>
  <si>
    <r>
      <t xml:space="preserve">Prämie - eingeben. </t>
    </r>
    <r>
      <rPr>
        <sz val="10"/>
        <color indexed="8"/>
        <rFont val="Arial"/>
        <family val="2"/>
      </rPr>
      <t>Ohne Nachweis 0 eingeben</t>
    </r>
    <r>
      <rPr>
        <sz val="10"/>
        <color indexed="10"/>
        <rFont val="Arial"/>
        <family val="2"/>
      </rPr>
      <t>.</t>
    </r>
  </si>
  <si>
    <t>UPTAB14</t>
  </si>
  <si>
    <t>Entwurf PAP 2014 vom 3.12.2013 berücksichtigt                      Stand 20.12.2013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</si>
</sst>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"/>
    <numFmt numFmtId="174" formatCode="0.000000"/>
    <numFmt numFmtId="175" formatCode="0.000"/>
    <numFmt numFmtId="176" formatCode="#,##0_ ;\-#,##0\ "/>
    <numFmt numFmtId="177" formatCode="0_ ;\-0\ 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_-* #,##0.00\ [$€-1]_-;\-* #,##0.00\ [$€-1]_-;_-* &quot;-&quot;??\ [$€-1]_-"/>
    <numFmt numFmtId="182" formatCode="0.0000_ ;\-0.0000\ "/>
    <numFmt numFmtId="183" formatCode="0.000_ ;\-0.000\ "/>
    <numFmt numFmtId="184" formatCode="#,##0.000\ _€;\-#,##0.000\ _€"/>
    <numFmt numFmtId="185" formatCode="0.00_ ;\-0.00\ "/>
    <numFmt numFmtId="186" formatCode="0.0_ ;\-0.0\ "/>
    <numFmt numFmtId="187" formatCode="#,##0.00_ ;\-#,##0.00\ "/>
    <numFmt numFmtId="188" formatCode="0.00000_ ;\-0.00000\ "/>
    <numFmt numFmtId="189" formatCode="0.0000"/>
  </numFmts>
  <fonts count="4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indexed="58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8"/>
      <color indexed="10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NumberFormat="1" applyBorder="1" applyAlignment="1">
      <alignment/>
    </xf>
    <xf numFmtId="18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1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2" fontId="0" fillId="33" borderId="0" xfId="0" applyNumberForma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177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hidden="1"/>
    </xf>
    <xf numFmtId="177" fontId="0" fillId="0" borderId="0" xfId="0" applyNumberForma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2" fontId="0" fillId="0" borderId="0" xfId="0" applyNumberFormat="1" applyFill="1" applyAlignment="1" applyProtection="1">
      <alignment/>
      <protection hidden="1"/>
    </xf>
    <xf numFmtId="2" fontId="0" fillId="0" borderId="19" xfId="0" applyNumberFormat="1" applyBorder="1" applyAlignment="1">
      <alignment/>
    </xf>
    <xf numFmtId="2" fontId="1" fillId="0" borderId="11" xfId="0" applyNumberFormat="1" applyFont="1" applyFill="1" applyBorder="1" applyAlignment="1">
      <alignment wrapText="1"/>
    </xf>
    <xf numFmtId="187" fontId="0" fillId="0" borderId="10" xfId="59" applyNumberFormat="1" applyFont="1" applyBorder="1" applyAlignment="1">
      <alignment/>
    </xf>
    <xf numFmtId="0" fontId="11" fillId="34" borderId="15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187" fontId="0" fillId="0" borderId="14" xfId="59" applyNumberFormat="1" applyFont="1" applyBorder="1" applyAlignment="1">
      <alignment/>
    </xf>
    <xf numFmtId="2" fontId="11" fillId="34" borderId="20" xfId="0" applyNumberFormat="1" applyFont="1" applyFill="1" applyBorder="1" applyAlignment="1">
      <alignment/>
    </xf>
    <xf numFmtId="0" fontId="11" fillId="34" borderId="21" xfId="0" applyFont="1" applyFill="1" applyBorder="1" applyAlignment="1">
      <alignment horizontal="center"/>
    </xf>
    <xf numFmtId="0" fontId="1" fillId="35" borderId="0" xfId="0" applyFont="1" applyFill="1" applyAlignment="1" applyProtection="1">
      <alignment/>
      <protection hidden="1"/>
    </xf>
    <xf numFmtId="177" fontId="0" fillId="0" borderId="0" xfId="0" applyNumberFormat="1" applyFill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0" fillId="36" borderId="22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6" fillId="36" borderId="22" xfId="0" applyFont="1" applyFill="1" applyBorder="1" applyAlignment="1">
      <alignment/>
    </xf>
    <xf numFmtId="0" fontId="6" fillId="36" borderId="23" xfId="0" applyFont="1" applyFill="1" applyBorder="1" applyAlignment="1">
      <alignment/>
    </xf>
    <xf numFmtId="0" fontId="12" fillId="36" borderId="22" xfId="0" applyFont="1" applyFill="1" applyBorder="1" applyAlignment="1">
      <alignment/>
    </xf>
    <xf numFmtId="2" fontId="0" fillId="0" borderId="11" xfId="0" applyNumberFormat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6" borderId="10" xfId="0" applyFont="1" applyFill="1" applyBorder="1" applyAlignment="1">
      <alignment vertical="top"/>
    </xf>
    <xf numFmtId="0" fontId="13" fillId="36" borderId="22" xfId="0" applyFont="1" applyFill="1" applyBorder="1" applyAlignment="1">
      <alignment/>
    </xf>
    <xf numFmtId="0" fontId="14" fillId="36" borderId="10" xfId="0" applyFont="1" applyFill="1" applyBorder="1" applyAlignment="1">
      <alignment horizontal="center"/>
    </xf>
    <xf numFmtId="0" fontId="1" fillId="0" borderId="0" xfId="0" applyFont="1" applyFill="1" applyAlignment="1" applyProtection="1">
      <alignment vertical="top"/>
      <protection hidden="1"/>
    </xf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6" fillId="37" borderId="22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10" fillId="37" borderId="10" xfId="48" applyFont="1" applyFill="1" applyBorder="1" applyAlignment="1" applyProtection="1">
      <alignment horizontal="left"/>
      <protection/>
    </xf>
    <xf numFmtId="0" fontId="10" fillId="37" borderId="10" xfId="48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 wrapText="1"/>
    </xf>
    <xf numFmtId="173" fontId="0" fillId="0" borderId="0" xfId="0" applyNumberFormat="1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33" borderId="22" xfId="0" applyFill="1" applyBorder="1" applyAlignment="1">
      <alignment/>
    </xf>
    <xf numFmtId="0" fontId="0" fillId="33" borderId="10" xfId="0" applyFont="1" applyFill="1" applyBorder="1" applyAlignment="1">
      <alignment/>
    </xf>
    <xf numFmtId="185" fontId="0" fillId="0" borderId="0" xfId="0" applyNumberFormat="1" applyFill="1" applyAlignment="1" applyProtection="1">
      <alignment horizontal="right"/>
      <protection hidden="1"/>
    </xf>
    <xf numFmtId="188" fontId="0" fillId="0" borderId="0" xfId="0" applyNumberFormat="1" applyFill="1" applyAlignment="1" applyProtection="1">
      <alignment horizontal="right"/>
      <protection hidden="1"/>
    </xf>
    <xf numFmtId="4" fontId="11" fillId="34" borderId="24" xfId="0" applyNumberFormat="1" applyFont="1" applyFill="1" applyBorder="1" applyAlignment="1">
      <alignment/>
    </xf>
    <xf numFmtId="4" fontId="11" fillId="34" borderId="20" xfId="0" applyNumberFormat="1" applyFont="1" applyFill="1" applyBorder="1" applyAlignment="1">
      <alignment/>
    </xf>
    <xf numFmtId="4" fontId="0" fillId="0" borderId="24" xfId="0" applyNumberFormat="1" applyBorder="1" applyAlignment="1">
      <alignment/>
    </xf>
    <xf numFmtId="4" fontId="3" fillId="0" borderId="25" xfId="0" applyNumberFormat="1" applyFont="1" applyBorder="1" applyAlignment="1">
      <alignment/>
    </xf>
    <xf numFmtId="0" fontId="6" fillId="38" borderId="22" xfId="0" applyFont="1" applyFill="1" applyBorder="1" applyAlignment="1">
      <alignment/>
    </xf>
    <xf numFmtId="0" fontId="7" fillId="38" borderId="10" xfId="0" applyFont="1" applyFill="1" applyBorder="1" applyAlignment="1">
      <alignment/>
    </xf>
    <xf numFmtId="0" fontId="4" fillId="38" borderId="10" xfId="48" applyFill="1" applyBorder="1" applyAlignment="1" applyProtection="1">
      <alignment horizontal="left"/>
      <protection/>
    </xf>
    <xf numFmtId="175" fontId="0" fillId="0" borderId="11" xfId="0" applyNumberFormat="1" applyBorder="1" applyAlignment="1">
      <alignment/>
    </xf>
    <xf numFmtId="0" fontId="16" fillId="0" borderId="13" xfId="0" applyFont="1" applyFill="1" applyBorder="1" applyAlignment="1">
      <alignment/>
    </xf>
    <xf numFmtId="0" fontId="18" fillId="0" borderId="10" xfId="0" applyFont="1" applyBorder="1" applyAlignment="1">
      <alignment/>
    </xf>
    <xf numFmtId="0" fontId="0" fillId="34" borderId="26" xfId="0" applyFont="1" applyFill="1" applyBorder="1" applyAlignment="1">
      <alignment/>
    </xf>
    <xf numFmtId="0" fontId="0" fillId="36" borderId="10" xfId="0" applyFont="1" applyFill="1" applyBorder="1" applyAlignment="1">
      <alignment vertical="top"/>
    </xf>
    <xf numFmtId="189" fontId="0" fillId="0" borderId="0" xfId="0" applyNumberFormat="1" applyFont="1" applyFill="1" applyBorder="1" applyAlignment="1">
      <alignment/>
    </xf>
    <xf numFmtId="0" fontId="0" fillId="0" borderId="0" xfId="0" applyFill="1" applyAlignment="1" applyProtection="1" quotePrefix="1">
      <alignment/>
      <protection hidden="1"/>
    </xf>
    <xf numFmtId="175" fontId="0" fillId="0" borderId="0" xfId="0" applyNumberFormat="1" applyFill="1" applyAlignment="1" applyProtection="1">
      <alignment/>
      <protection hidden="1"/>
    </xf>
    <xf numFmtId="0" fontId="8" fillId="36" borderId="14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172" fontId="0" fillId="37" borderId="11" xfId="0" applyNumberFormat="1" applyFill="1" applyBorder="1" applyAlignment="1">
      <alignment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 horizontal="center"/>
    </xf>
    <xf numFmtId="0" fontId="15" fillId="39" borderId="27" xfId="0" applyFont="1" applyFill="1" applyBorder="1" applyAlignment="1">
      <alignment horizontal="center" vertical="center"/>
    </xf>
    <xf numFmtId="0" fontId="0" fillId="39" borderId="28" xfId="0" applyFill="1" applyBorder="1" applyAlignment="1">
      <alignment horizontal="center" vertical="center"/>
    </xf>
    <xf numFmtId="0" fontId="9" fillId="38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" fillId="38" borderId="0" xfId="48" applyFill="1" applyAlignment="1" applyProtection="1">
      <alignment horizontal="left"/>
      <protection/>
    </xf>
    <xf numFmtId="0" fontId="0" fillId="38" borderId="0" xfId="0" applyFill="1" applyAlignment="1">
      <alignment horizontal="right"/>
    </xf>
    <xf numFmtId="0" fontId="0" fillId="0" borderId="0" xfId="0" applyAlignment="1">
      <alignment/>
    </xf>
    <xf numFmtId="0" fontId="4" fillId="38" borderId="0" xfId="48" applyFill="1" applyAlignment="1" applyProtection="1">
      <alignment/>
      <protection/>
    </xf>
    <xf numFmtId="0" fontId="9" fillId="38" borderId="29" xfId="0" applyFont="1" applyFill="1" applyBorder="1" applyAlignment="1">
      <alignment horizontal="right"/>
    </xf>
    <xf numFmtId="0" fontId="0" fillId="40" borderId="0" xfId="0" applyFill="1" applyAlignment="1">
      <alignment horizontal="right"/>
    </xf>
    <xf numFmtId="0" fontId="4" fillId="40" borderId="0" xfId="48" applyFill="1" applyAlignment="1" applyProtection="1">
      <alignment/>
      <protection/>
    </xf>
    <xf numFmtId="0" fontId="0" fillId="40" borderId="0" xfId="0" applyFill="1" applyAlignment="1">
      <alignment/>
    </xf>
    <xf numFmtId="0" fontId="0" fillId="38" borderId="0" xfId="0" applyFont="1" applyFill="1" applyAlignment="1">
      <alignment horizontal="right"/>
    </xf>
    <xf numFmtId="0" fontId="4" fillId="38" borderId="0" xfId="48" applyFont="1" applyFill="1" applyAlignment="1" applyProtection="1">
      <alignment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5A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D5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rmentier.ffm@t-online.de" TargetMode="External" /><Relationship Id="rId2" Type="http://schemas.openxmlformats.org/officeDocument/2006/relationships/hyperlink" Target="steuer01.htm" TargetMode="External" /><Relationship Id="rId3" Type="http://schemas.openxmlformats.org/officeDocument/2006/relationships/hyperlink" Target="lohnsteuer2011.xls" TargetMode="External" /><Relationship Id="rId4" Type="http://schemas.openxmlformats.org/officeDocument/2006/relationships/hyperlink" Target="lohnsteuer2012_netto.xls" TargetMode="External" /><Relationship Id="rId5" Type="http://schemas.openxmlformats.org/officeDocument/2006/relationships/hyperlink" Target="..\lohnsteuer2012.xls" TargetMode="External" /><Relationship Id="rId6" Type="http://schemas.openxmlformats.org/officeDocument/2006/relationships/hyperlink" Target="lohnsteuer2012_netto.xls" TargetMode="External" /><Relationship Id="rId7" Type="http://schemas.openxmlformats.org/officeDocument/2006/relationships/hyperlink" Target="../lohnsteuer2011_netto.xls" TargetMode="External" /><Relationship Id="rId8" Type="http://schemas.openxmlformats.org/officeDocument/2006/relationships/hyperlink" Target="../lohnsteuer2012_netto.xls" TargetMode="External" /><Relationship Id="rId9" Type="http://schemas.openxmlformats.org/officeDocument/2006/relationships/hyperlink" Target="../lohnsteuer2013_netto.xls" TargetMode="External" /><Relationship Id="rId10" Type="http://schemas.openxmlformats.org/officeDocument/2006/relationships/hyperlink" Target="../lohnsteuer2013_netto.xls" TargetMode="External" /><Relationship Id="rId11" Type="http://schemas.openxmlformats.org/officeDocument/2006/relationships/hyperlink" Target="../lohnsteuer2013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G3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5.421875" style="0" customWidth="1"/>
    <col min="2" max="2" width="12.8515625" style="0" bestFit="1" customWidth="1"/>
    <col min="3" max="3" width="3.7109375" style="0" customWidth="1"/>
    <col min="4" max="4" width="1.8515625" style="0" customWidth="1"/>
    <col min="5" max="5" width="57.421875" style="0" customWidth="1"/>
  </cols>
  <sheetData>
    <row r="1" spans="1:5" ht="23.25" customHeight="1">
      <c r="A1" s="62"/>
      <c r="B1" s="3"/>
      <c r="C1" s="4"/>
      <c r="D1" s="92" t="s">
        <v>114</v>
      </c>
      <c r="E1" s="93"/>
    </row>
    <row r="2" spans="1:5" ht="12.75">
      <c r="A2" s="19" t="s">
        <v>47</v>
      </c>
      <c r="B2" s="32">
        <v>2000</v>
      </c>
      <c r="C2" s="10" t="s">
        <v>48</v>
      </c>
      <c r="D2" s="53"/>
      <c r="E2" s="54"/>
    </row>
    <row r="3" spans="1:7" ht="12.75">
      <c r="A3" s="2" t="s">
        <v>49</v>
      </c>
      <c r="B3" s="5">
        <v>2</v>
      </c>
      <c r="C3" s="4"/>
      <c r="D3" s="53"/>
      <c r="E3" s="43" t="s">
        <v>51</v>
      </c>
      <c r="G3" s="18"/>
    </row>
    <row r="4" spans="1:5" ht="12.75">
      <c r="A4" s="2" t="s">
        <v>50</v>
      </c>
      <c r="B4" s="5">
        <v>1</v>
      </c>
      <c r="C4" s="6"/>
      <c r="D4" s="42"/>
      <c r="E4" s="43" t="s">
        <v>53</v>
      </c>
    </row>
    <row r="5" spans="1:5" ht="12.75">
      <c r="A5" s="81" t="s">
        <v>103</v>
      </c>
      <c r="B5" s="79">
        <v>0</v>
      </c>
      <c r="C5" s="6"/>
      <c r="D5" s="42"/>
      <c r="E5" s="43"/>
    </row>
    <row r="6" spans="1:5" ht="12.75">
      <c r="A6" s="2" t="s">
        <v>52</v>
      </c>
      <c r="B6" s="5">
        <v>0</v>
      </c>
      <c r="C6" s="4"/>
      <c r="D6" s="42"/>
      <c r="E6" s="44" t="s">
        <v>55</v>
      </c>
    </row>
    <row r="7" spans="1:5" ht="12.75">
      <c r="A7" s="2" t="s">
        <v>54</v>
      </c>
      <c r="B7" s="5">
        <v>0</v>
      </c>
      <c r="C7" s="4"/>
      <c r="D7" s="42"/>
      <c r="E7" s="44" t="s">
        <v>58</v>
      </c>
    </row>
    <row r="8" spans="1:5" ht="12.75">
      <c r="A8" s="2" t="s">
        <v>56</v>
      </c>
      <c r="B8" s="5">
        <v>9</v>
      </c>
      <c r="C8" s="4" t="s">
        <v>57</v>
      </c>
      <c r="D8" s="42"/>
      <c r="E8" s="44" t="s">
        <v>59</v>
      </c>
    </row>
    <row r="9" spans="1:5" ht="12.75">
      <c r="A9" s="88" t="s">
        <v>119</v>
      </c>
      <c r="B9" s="89">
        <v>14.6</v>
      </c>
      <c r="C9" s="90" t="s">
        <v>91</v>
      </c>
      <c r="D9" s="42"/>
      <c r="E9" s="44"/>
    </row>
    <row r="10" spans="1:5" ht="12.75">
      <c r="A10" s="88" t="s">
        <v>120</v>
      </c>
      <c r="B10" s="89">
        <v>0.9</v>
      </c>
      <c r="C10" s="91" t="s">
        <v>57</v>
      </c>
      <c r="D10" s="49"/>
      <c r="E10" s="50" t="s">
        <v>122</v>
      </c>
    </row>
    <row r="11" spans="1:5" ht="12.75">
      <c r="A11" s="2" t="s">
        <v>83</v>
      </c>
      <c r="B11" s="5">
        <v>1</v>
      </c>
      <c r="C11" s="4"/>
      <c r="D11" s="49"/>
      <c r="E11" s="69" t="s">
        <v>121</v>
      </c>
    </row>
    <row r="12" spans="1:5" ht="12.75">
      <c r="A12" s="2" t="s">
        <v>85</v>
      </c>
      <c r="B12" s="5">
        <v>0</v>
      </c>
      <c r="C12" s="4"/>
      <c r="D12" s="68"/>
      <c r="E12" s="51" t="s">
        <v>101</v>
      </c>
    </row>
    <row r="13" spans="1:5" ht="12.75">
      <c r="A13" s="2" t="s">
        <v>86</v>
      </c>
      <c r="B13" s="5">
        <v>0</v>
      </c>
      <c r="C13" s="4"/>
      <c r="D13" s="68"/>
      <c r="E13" s="69" t="s">
        <v>123</v>
      </c>
    </row>
    <row r="14" spans="1:5" ht="12.75">
      <c r="A14" s="57" t="s">
        <v>102</v>
      </c>
      <c r="B14" s="5">
        <v>0</v>
      </c>
      <c r="C14" s="4"/>
      <c r="D14" s="42"/>
      <c r="E14" s="43"/>
    </row>
    <row r="15" spans="1:5" ht="12.75">
      <c r="A15" s="16" t="s">
        <v>70</v>
      </c>
      <c r="B15" s="48">
        <v>0</v>
      </c>
      <c r="C15" s="7" t="s">
        <v>48</v>
      </c>
      <c r="D15" s="53"/>
      <c r="E15" s="43"/>
    </row>
    <row r="16" spans="1:5" ht="12.75" thickBot="1">
      <c r="A16" s="17" t="s">
        <v>62</v>
      </c>
      <c r="B16" s="31">
        <v>0</v>
      </c>
      <c r="C16" s="8" t="s">
        <v>48</v>
      </c>
      <c r="D16" s="53"/>
      <c r="E16" s="83"/>
    </row>
    <row r="17" spans="1:5" ht="12.75">
      <c r="A17" s="80">
        <f>IF(AND(AND(B5&gt;0,B5&lt;1),B4=4),"Ehegattenfaktor von "&amp;B5&amp;" berücksichtigt","")</f>
      </c>
      <c r="B17" s="9"/>
      <c r="C17" s="7"/>
      <c r="D17" s="47"/>
      <c r="E17" s="43"/>
    </row>
    <row r="18" spans="1:5" ht="12.75">
      <c r="A18" s="11" t="s">
        <v>34</v>
      </c>
      <c r="B18" s="33">
        <f>Berechnung!B71/100</f>
        <v>208.08</v>
      </c>
      <c r="C18" s="4" t="s">
        <v>48</v>
      </c>
      <c r="D18" s="47"/>
      <c r="E18" s="44"/>
    </row>
    <row r="19" spans="1:6" ht="12.75">
      <c r="A19" s="11" t="s">
        <v>35</v>
      </c>
      <c r="B19" s="33">
        <f>Berechnung!B87/100</f>
        <v>11.44</v>
      </c>
      <c r="C19" s="4" t="s">
        <v>48</v>
      </c>
      <c r="D19" s="45"/>
      <c r="E19" s="44" t="s">
        <v>60</v>
      </c>
      <c r="F19" s="41"/>
    </row>
    <row r="20" spans="1:5" ht="12.75">
      <c r="A20" s="35" t="s">
        <v>36</v>
      </c>
      <c r="B20" s="36">
        <f>ROUNDDOWN(Berechnung!B92*B8/10000,2)</f>
        <v>18.72</v>
      </c>
      <c r="C20" s="13" t="s">
        <v>48</v>
      </c>
      <c r="D20" s="45"/>
      <c r="E20" s="52" t="s">
        <v>61</v>
      </c>
    </row>
    <row r="21" spans="1:5" ht="12.75">
      <c r="A21" s="82" t="s">
        <v>108</v>
      </c>
      <c r="B21" s="72">
        <f>IF(B6=0,ROUND(IF(B3=1,IF(B2&gt;IF(B12=1,60000,71400),IF(B12=1,60000,71400),B2),IF(B3=2,IF(B2&gt;IF(B12=1,5000,5950),IF(B12=1,5000,5950),B2),IF(B3=3,IF(B2&gt;IF(B12=1,1166.66,1388.333),IF(B12=1,1143.33,1353.33),B2),IF(B2&gt;IF(B12=1,166.66,193.33),IF(B12=1,166.66,193.33),B2))))*0.0945,2),0)</f>
        <v>189</v>
      </c>
      <c r="C21" s="34" t="s">
        <v>48</v>
      </c>
      <c r="D21" s="58"/>
      <c r="E21" s="59" t="s">
        <v>69</v>
      </c>
    </row>
    <row r="22" spans="1:5" ht="12.75">
      <c r="A22" s="82" t="str">
        <f>IF(B9=0,"Privat Krankenversichert ohne Nachweis",IF(B10&gt;20,"Basisprämie KV, AG-Anteil abgezogen",B9/2+B10&amp;" % Krankenversicherungsbeitrag"))</f>
        <v>8,2 % Krankenversicherungsbeitrag</v>
      </c>
      <c r="B22" s="73">
        <f>IF(B9&gt;20,B9,IF(B9=0,0,ROUND(IF(B3=1,IF(B2&gt;48600,48600,B2),IF(B3=2,IF(B2&gt;4050,4050,B2),IF(B3=3,IF(B2&gt;945,945,B2),IF(B2&gt;135,135,B2))))*(B9/200+B10*0.01),2)))</f>
        <v>164</v>
      </c>
      <c r="C22" s="38" t="s">
        <v>48</v>
      </c>
      <c r="D22" s="58"/>
      <c r="E22" s="60" t="s">
        <v>71</v>
      </c>
    </row>
    <row r="23" spans="1:5" ht="12.75">
      <c r="A23" s="82" t="str">
        <f>IF(B13=1,1.525,1.025)+IF(B11=1,0.25,0)&amp;"% Pflegeversicherung"</f>
        <v>1,275% Pflegeversicherung</v>
      </c>
      <c r="B23" s="37">
        <f>IF(B9&gt;20,B9,IF(B9=0,0,ROUND(IF(B3=1,IF(B2&gt;48600,48600,B2),IF(B3=2,IF(B2&gt;4050,4050,B2),IF(B3=3,IF(B2&gt;945,945,B2),IF(B2&gt;135,135,B2)))),2)))*(IF(B13=0,0.01025,0.01525)+IF(AND(B11=1,B7=0),0.0025,0))</f>
        <v>25.500000000000004</v>
      </c>
      <c r="C23" s="38" t="s">
        <v>48</v>
      </c>
      <c r="D23" s="58"/>
      <c r="E23" s="60" t="s">
        <v>84</v>
      </c>
    </row>
    <row r="24" spans="1:5" ht="12.75">
      <c r="A24" s="82" t="s">
        <v>100</v>
      </c>
      <c r="B24" s="37">
        <f>IF(B6=0,ROUND(IF(B3=1,IF(B2&gt;IF(B12=1,60000,71400),IF(B12=1,60000,71400),B2),IF(B3=2,IF(B2&gt;IF(B12=1,5000,5950),IF(B12=1,5000,5950),B2),IF(B3=3,IF(B2&gt;IF(B12=1,1166.66,1388.333),IF(B12=1,1143.33,1353.33),B2),IF(B2&gt;IF(B12=1,166.66,193.33),IF(B12=1,166.66,193.33),B2))))*0.015,2),0)</f>
        <v>30</v>
      </c>
      <c r="C24" s="38" t="s">
        <v>48</v>
      </c>
      <c r="D24" s="58"/>
      <c r="E24" s="61"/>
    </row>
    <row r="25" spans="1:5" ht="12.75">
      <c r="A25" s="2"/>
      <c r="B25" s="3"/>
      <c r="C25" s="4"/>
      <c r="D25" s="76"/>
      <c r="E25" s="77"/>
    </row>
    <row r="26" spans="1:5" ht="12.75">
      <c r="A26" s="12" t="s">
        <v>63</v>
      </c>
      <c r="B26" s="74">
        <f>SUM(B18:B24)</f>
        <v>646.74</v>
      </c>
      <c r="C26" s="13" t="s">
        <v>48</v>
      </c>
      <c r="D26" s="76"/>
      <c r="E26" s="78"/>
    </row>
    <row r="27" spans="1:5" ht="13.5" thickBot="1">
      <c r="A27" s="14" t="s">
        <v>64</v>
      </c>
      <c r="B27" s="75">
        <f>B2-B26</f>
        <v>1353.26</v>
      </c>
      <c r="C27" s="15" t="s">
        <v>48</v>
      </c>
      <c r="D27" s="46"/>
      <c r="E27" s="87" t="s">
        <v>125</v>
      </c>
    </row>
    <row r="28" spans="1:5" ht="12.75">
      <c r="A28" s="100" t="s">
        <v>76</v>
      </c>
      <c r="B28" s="100"/>
      <c r="C28" s="99" t="s">
        <v>65</v>
      </c>
      <c r="D28" s="99"/>
      <c r="E28" s="99"/>
    </row>
    <row r="29" spans="1:5" ht="12.75">
      <c r="A29" s="94" t="s">
        <v>77</v>
      </c>
      <c r="B29" s="95"/>
      <c r="C29" s="96" t="s">
        <v>78</v>
      </c>
      <c r="D29" s="96"/>
      <c r="E29" s="96"/>
    </row>
    <row r="30" spans="1:5" ht="12.75">
      <c r="A30" s="97" t="s">
        <v>105</v>
      </c>
      <c r="B30" s="98"/>
      <c r="C30" s="99" t="s">
        <v>106</v>
      </c>
      <c r="D30" s="99"/>
      <c r="E30" s="99"/>
    </row>
    <row r="31" spans="1:5" ht="12.75">
      <c r="A31" s="104" t="s">
        <v>109</v>
      </c>
      <c r="B31" s="98"/>
      <c r="C31" s="105" t="s">
        <v>110</v>
      </c>
      <c r="D31" s="98"/>
      <c r="E31" s="98"/>
    </row>
    <row r="32" spans="1:5" ht="12.75">
      <c r="A32" s="104" t="s">
        <v>117</v>
      </c>
      <c r="B32" s="98"/>
      <c r="C32" s="99" t="s">
        <v>118</v>
      </c>
      <c r="D32" s="98"/>
      <c r="E32" s="98"/>
    </row>
    <row r="33" spans="1:5" ht="12.75">
      <c r="A33" s="101" t="s">
        <v>112</v>
      </c>
      <c r="B33" s="101"/>
      <c r="C33" s="102" t="s">
        <v>111</v>
      </c>
      <c r="D33" s="102"/>
      <c r="E33" s="102"/>
    </row>
    <row r="34" spans="1:5" ht="12.75">
      <c r="A34" s="101" t="s">
        <v>112</v>
      </c>
      <c r="B34" s="101"/>
      <c r="C34" s="102" t="s">
        <v>107</v>
      </c>
      <c r="D34" s="102"/>
      <c r="E34" s="102"/>
    </row>
    <row r="35" spans="1:5" ht="12.75">
      <c r="A35" s="101" t="s">
        <v>112</v>
      </c>
      <c r="B35" s="101"/>
      <c r="C35" s="102" t="s">
        <v>113</v>
      </c>
      <c r="D35" s="103"/>
      <c r="E35" s="103"/>
    </row>
  </sheetData>
  <sheetProtection/>
  <mergeCells count="17">
    <mergeCell ref="A35:B35"/>
    <mergeCell ref="C35:E35"/>
    <mergeCell ref="A31:B31"/>
    <mergeCell ref="C31:E31"/>
    <mergeCell ref="A33:B33"/>
    <mergeCell ref="C33:E33"/>
    <mergeCell ref="A34:B34"/>
    <mergeCell ref="C34:E34"/>
    <mergeCell ref="C32:E32"/>
    <mergeCell ref="A32:B32"/>
    <mergeCell ref="D1:E1"/>
    <mergeCell ref="A29:B29"/>
    <mergeCell ref="C29:E29"/>
    <mergeCell ref="A30:B30"/>
    <mergeCell ref="C30:E30"/>
    <mergeCell ref="C28:E28"/>
    <mergeCell ref="A28:B28"/>
  </mergeCells>
  <conditionalFormatting sqref="B14">
    <cfRule type="cellIs" priority="1" dxfId="0" operator="between" stopIfTrue="1">
      <formula>0</formula>
      <formula>5</formula>
    </cfRule>
  </conditionalFormatting>
  <dataValidations count="12">
    <dataValidation type="list" allowBlank="1" showInputMessage="1" showErrorMessage="1" sqref="B3">
      <formula1>"1,2,3,4"</formula1>
    </dataValidation>
    <dataValidation type="list" allowBlank="1" showInputMessage="1" showErrorMessage="1" sqref="B4">
      <formula1>"1,2,3,4,5,6"</formula1>
    </dataValidation>
    <dataValidation type="list" allowBlank="1" showInputMessage="1" showErrorMessage="1" promptTitle="Lohnsteuertabelle" prompt="Rentenversicherungspflichtige werden nach der allgemeinen und nicht  rentenversicherungspflichtige (z.B. Beamte, Geschäftsführer-Gesellschafter) nach der besonderen Tabelle besteuert (geringere Vorsorgepauschale)" sqref="B6">
      <formula1>"0,1"</formula1>
    </dataValidation>
    <dataValidation type="list" operator="notBetween" allowBlank="1" showInputMessage="1" showErrorMessage="1" promptTitle="Kirchensteuer" prompt="Die Kirchensteuer beträgt in Bayern und Baden-Württemberg 8%, sonst 9%" sqref="B8">
      <formula1>"0,8,9"</formula1>
    </dataValidation>
    <dataValidation type="list" allowBlank="1" showInputMessage="1" showErrorMessage="1" promptTitle="Altersentlastungsbetrag" prompt="Eingabe: vor 1941 geborene=1, 1941=2, 1942=3, 1943=4, 1944=5, 1945=6, 1946=7, 1947=8, 1948=9, 1949=10, nach 1949=0" sqref="B14">
      <formula1>"0,1,2,3,4,5,6,7,8,9,10"</formula1>
    </dataValidation>
    <dataValidation type="list" allowBlank="1" showInputMessage="1" showErrorMessage="1" sqref="B7">
      <formula1>"0,0,5,1,1,5,2,2,5,3,3,5,4,4,5,5,5,5,6"</formula1>
    </dataValidation>
    <dataValidation type="decimal" allowBlank="1" showInputMessage="1" showErrorMessage="1" sqref="B5">
      <formula1>0</formula1>
      <formula2>1</formula2>
    </dataValidation>
    <dataValidation allowBlank="1" showInputMessage="1" showErrorMessage="1" promptTitle="Krankenkassenbeitragssatz" prompt="Krankenkassenbeitragssatz ohne Zusatzbeitrag eingeben bzw. bei privater Krankenversicherung nur den Eigenanteil (KV+ PV, AG-Zuschuss abgezogen!) Freiwillig Versicherte: Bei Arbeitgeberzuschuss wie GKV ohne wie PKV" sqref="B9"/>
    <dataValidation type="list" allowBlank="1" showInputMessage="1" showErrorMessage="1" promptTitle="Sonderabgabe Pflegeversicherung" prompt="Über 23jährige, die kein Elterteil sind, zahlen 0,25% mehr in die Pflegeversicherung" sqref="B11">
      <formula1>"0,1"</formula1>
    </dataValidation>
    <dataValidation type="list" allowBlank="1" showInputMessage="1" showErrorMessage="1" promptTitle="Bemessungsgrenze Sozialversicher" prompt="Die Bemessungsgrenzen der Rentenversicherung ist 2014 in Ost 60.000 €, in West 71.400 €," sqref="B12">
      <formula1>"0,1"</formula1>
    </dataValidation>
    <dataValidation type="list" allowBlank="1" showInputMessage="1" showErrorMessage="1" promptTitle="Pflegeversicherung in Sachsen" prompt="Sachsen bezahlen auch 2014  0,5% mehr für die Pflegeversicherung (1.525%). Dafür haben sie den Buß- und Bettag als Feiertag behalten." sqref="B13">
      <formula1>"0,1"</formula1>
    </dataValidation>
    <dataValidation allowBlank="1" showInputMessage="1" showErrorMessage="1" promptTitle="Krankenkassenzusatzbeitragssatz" prompt="Der Krankenkassenzusatzbeitragssatz, den der Arbeitnehmer alleine zu tragen hat (bisher 0,9%) wird 2014 von jeder Krankenkasse selbst festgelegt (zur Verbesserung des  Wettbewerbs)." sqref="B10"/>
  </dataValidations>
  <hyperlinks>
    <hyperlink ref="C29:E29" r:id="rId1" display="parmentier.ffm@t-online.de"/>
    <hyperlink ref="C28:E28" r:id="rId2" display="http://www.parmentier.de/steuer/steuer01.htm"/>
    <hyperlink ref="C30:E30" r:id="rId3" display="http://www.parmentier.de/steuer/lohnsteuer2011.xls"/>
    <hyperlink ref="C33:E33" r:id="rId4" display="http://www.parmentier.de/steuer/lohnsteuer2012_netto.xls"/>
    <hyperlink ref="C31" r:id="rId5" display="http://www.parmentier.de/steuer/lohnsteuer2012.xls"/>
    <hyperlink ref="C34:E34" r:id="rId6" display="http://www.parmentier.de/steuer/lohnsteuer2012_netto.xls"/>
    <hyperlink ref="C33" r:id="rId7" display="http://www.parmentier.de/steuer/lohnsteuer2011_netto.xls"/>
    <hyperlink ref="C34" r:id="rId8" display="http://www.parmentier.de/steuer/lohnsteuer2012_netto.xls"/>
    <hyperlink ref="C35:E35" r:id="rId9" display="http://www.parmentier.de/steuer/lohnsteuer2013_netto.xls"/>
    <hyperlink ref="C35" r:id="rId10" display="http://www.parmentier.de/steuer/lohnsteuer2013_netto.xls"/>
    <hyperlink ref="C32" r:id="rId11" display="http://www.parmentier.de/steuer/lohnsteuer2013.xls"/>
  </hyperlinks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2:K92"/>
  <sheetViews>
    <sheetView zoomScalePageLayoutView="0" workbookViewId="0" topLeftCell="A1">
      <selection activeCell="D44" sqref="D44"/>
    </sheetView>
  </sheetViews>
  <sheetFormatPr defaultColWidth="11.421875" defaultRowHeight="12.75"/>
  <cols>
    <col min="1" max="1" width="12.00390625" style="1" customWidth="1"/>
    <col min="2" max="2" width="14.00390625" style="1" customWidth="1"/>
    <col min="3" max="3" width="11.421875" style="1" customWidth="1"/>
    <col min="4" max="4" width="13.140625" style="1" customWidth="1"/>
    <col min="5" max="16384" width="11.421875" style="1" customWidth="1"/>
  </cols>
  <sheetData>
    <row r="2" spans="1:11" ht="12.75">
      <c r="A2" s="39" t="s">
        <v>116</v>
      </c>
      <c r="B2" s="39"/>
      <c r="D2" s="55"/>
      <c r="E2" s="56"/>
      <c r="F2" s="56"/>
      <c r="G2" s="56"/>
      <c r="H2" s="56"/>
      <c r="I2" s="56"/>
      <c r="J2" s="56"/>
      <c r="K2" s="56"/>
    </row>
    <row r="3" spans="1:11" ht="12.75">
      <c r="A3" s="1" t="s">
        <v>0</v>
      </c>
      <c r="B3" s="30">
        <f>Eingabe!B14</f>
        <v>0</v>
      </c>
      <c r="D3" s="66" t="s">
        <v>104</v>
      </c>
      <c r="I3" s="56"/>
      <c r="J3" s="56"/>
      <c r="K3" s="56"/>
    </row>
    <row r="4" spans="1:11" ht="12.75">
      <c r="A4" s="1" t="s">
        <v>4</v>
      </c>
      <c r="B4" s="1">
        <f>IF(Eingabe!B4&gt;4,0,Eingabe!B7)</f>
        <v>0</v>
      </c>
      <c r="D4" s="66" t="s">
        <v>90</v>
      </c>
      <c r="E4" s="56"/>
      <c r="F4" s="56"/>
      <c r="G4" s="56"/>
      <c r="H4" s="56"/>
      <c r="I4" s="56"/>
      <c r="J4" s="56"/>
      <c r="K4" s="56"/>
    </row>
    <row r="5" spans="1:11" ht="12.75">
      <c r="A5" s="1" t="s">
        <v>2</v>
      </c>
      <c r="B5" s="1">
        <f>Eingabe!B3</f>
        <v>2</v>
      </c>
      <c r="D5" s="64"/>
      <c r="E5" s="56"/>
      <c r="F5" s="56"/>
      <c r="G5" s="56"/>
      <c r="H5" s="56"/>
      <c r="I5" s="56"/>
      <c r="J5" s="56"/>
      <c r="K5" s="56"/>
    </row>
    <row r="6" spans="1:11" ht="12.75">
      <c r="A6" s="1" t="s">
        <v>1</v>
      </c>
      <c r="B6" s="1">
        <f>Eingabe!B6</f>
        <v>0</v>
      </c>
      <c r="D6" s="64"/>
      <c r="E6" s="56"/>
      <c r="F6" s="56"/>
      <c r="G6" s="56"/>
      <c r="H6" s="56"/>
      <c r="I6" s="56"/>
      <c r="J6" s="56"/>
      <c r="K6" s="56"/>
    </row>
    <row r="7" spans="1:11" ht="12.75">
      <c r="A7" s="1" t="s">
        <v>80</v>
      </c>
      <c r="B7" s="24">
        <f>ROUNDDOWN(IF(B5=1,Eingabe!B2*100,IF(B5=2,(Eingabe!B2*100)*12,IF(B5=3,((Eingabe!B2*100)*360)/7,(Eingabe!B2*100)*360))),2)</f>
        <v>2400000</v>
      </c>
      <c r="D7" s="64"/>
      <c r="E7" s="56"/>
      <c r="F7" s="56"/>
      <c r="G7" s="56"/>
      <c r="H7" s="56"/>
      <c r="I7" s="56"/>
      <c r="J7" s="56"/>
      <c r="K7" s="56"/>
    </row>
    <row r="8" spans="1:11" ht="12.75">
      <c r="A8" s="1" t="s">
        <v>3</v>
      </c>
      <c r="B8" s="25">
        <f>Eingabe!B4</f>
        <v>1</v>
      </c>
      <c r="D8" s="64"/>
      <c r="E8" s="56"/>
      <c r="F8" s="56"/>
      <c r="G8" s="56"/>
      <c r="H8" s="56"/>
      <c r="I8" s="56"/>
      <c r="J8" s="56"/>
      <c r="K8" s="56"/>
    </row>
    <row r="9" spans="1:11" ht="12.75">
      <c r="A9" s="1" t="s">
        <v>82</v>
      </c>
      <c r="B9" s="26">
        <f>Eingabe!B16*100</f>
        <v>0</v>
      </c>
      <c r="C9" s="1" t="s">
        <v>41</v>
      </c>
      <c r="D9" s="64"/>
      <c r="E9" s="56"/>
      <c r="F9" s="56"/>
      <c r="G9" s="56"/>
      <c r="H9" s="56"/>
      <c r="I9" s="56"/>
      <c r="J9" s="56"/>
      <c r="K9" s="56"/>
    </row>
    <row r="10" spans="1:11" ht="12.75">
      <c r="A10" s="1" t="s">
        <v>81</v>
      </c>
      <c r="B10" s="40">
        <f>IF(B8=6,0,Eingabe!B15*100)</f>
        <v>0</v>
      </c>
      <c r="D10" s="64"/>
      <c r="E10" s="56"/>
      <c r="F10" s="56"/>
      <c r="G10" s="56"/>
      <c r="H10" s="56"/>
      <c r="I10" s="56"/>
      <c r="J10" s="56"/>
      <c r="K10" s="56"/>
    </row>
    <row r="11" spans="1:11" ht="12.75">
      <c r="A11" s="1" t="s">
        <v>94</v>
      </c>
      <c r="B11" s="40">
        <f>IF(Eingabe!B12=0,71400,60000)</f>
        <v>71400</v>
      </c>
      <c r="D11" s="1" t="s">
        <v>92</v>
      </c>
      <c r="E11" s="56"/>
      <c r="F11" s="56"/>
      <c r="G11" s="56"/>
      <c r="H11" s="56"/>
      <c r="I11" s="56"/>
      <c r="J11" s="56"/>
      <c r="K11" s="56"/>
    </row>
    <row r="12" spans="1:11" ht="12.75">
      <c r="A12" s="1" t="s">
        <v>93</v>
      </c>
      <c r="B12" s="70">
        <f>IF(Eingabe!B9&gt;20,ROUNDDOWN(IF(B5=1,Eingabe!B9*100,IF(B5=2,(Eingabe!B9*100)*12,IF(B5=3,((Eingabe!B9*100)*360)/7,(Eingabe!B9*100)*360)))/100,2),0)</f>
        <v>0</v>
      </c>
      <c r="D12" s="64"/>
      <c r="E12" s="56"/>
      <c r="F12" s="56"/>
      <c r="G12" s="56"/>
      <c r="H12" s="56"/>
      <c r="I12" s="56"/>
      <c r="J12" s="56"/>
      <c r="K12" s="56"/>
    </row>
    <row r="13" spans="1:11" ht="12.75">
      <c r="A13" s="1" t="s">
        <v>89</v>
      </c>
      <c r="B13" s="71">
        <f>IF(Eingabe!B13=0,0.01025,0.01525)+IF(AND(Eingabe!B11=1,Eingabe!B7=0),0.0025,0)</f>
        <v>0.012750000000000001</v>
      </c>
      <c r="D13" s="64"/>
      <c r="E13" s="56"/>
      <c r="F13" s="56"/>
      <c r="G13" s="56"/>
      <c r="H13" s="56"/>
      <c r="I13" s="56"/>
      <c r="J13" s="56"/>
      <c r="K13" s="56"/>
    </row>
    <row r="14" spans="1:11" ht="12.75">
      <c r="A14" s="1" t="s">
        <v>99</v>
      </c>
      <c r="B14" s="30">
        <f>IF(OR(OR(Eingabe!B5=0,Eingabe!B5&gt;1),Eingabe!B4&lt;&gt;4),1,Eingabe!B5)</f>
        <v>1</v>
      </c>
      <c r="D14" s="64"/>
      <c r="E14" s="56"/>
      <c r="F14" s="56"/>
      <c r="G14" s="56"/>
      <c r="H14" s="56"/>
      <c r="I14" s="56"/>
      <c r="J14" s="56"/>
      <c r="K14" s="56"/>
    </row>
    <row r="15" spans="1:11" ht="12.75">
      <c r="A15" s="20" t="s">
        <v>79</v>
      </c>
      <c r="B15" s="21"/>
      <c r="D15" s="64"/>
      <c r="E15" s="56"/>
      <c r="F15" s="56"/>
      <c r="G15" s="56"/>
      <c r="H15" s="56"/>
      <c r="I15" s="56"/>
      <c r="J15" s="56"/>
      <c r="K15" s="56"/>
    </row>
    <row r="16" spans="1:11" ht="12.75">
      <c r="A16" s="28" t="s">
        <v>66</v>
      </c>
      <c r="B16" s="86">
        <f>IF(B3=1,0.4,IF(B3=2,0.384,IF(B3=3,0.368,IF(B3=4,0.352,IF(B3=5,0.336,IF(B3=6,0.32,IF(B3=7,0.304,IF(B3=8,0.288,0))))))))+IF(B3=9,0.272,IF(B3=10,0.256,0))</f>
        <v>0</v>
      </c>
      <c r="D16" s="64"/>
      <c r="E16" s="56"/>
      <c r="F16" s="56"/>
      <c r="G16" s="56"/>
      <c r="H16" s="56"/>
      <c r="I16" s="56"/>
      <c r="J16" s="56"/>
      <c r="K16" s="56"/>
    </row>
    <row r="17" spans="1:11" ht="12.75">
      <c r="A17" s="1" t="s">
        <v>67</v>
      </c>
      <c r="B17" s="1">
        <f>IF(B3=1,190000,IF(B3=2,182400,IF(B3=3,174800,IF(B3=4,167200,IF(B3=5,159600,IF(B3=6,152000,IF(B3=7,144400,IF(B3=8,136800,0))))))))+IF(B3=9,129200,IF(B3=10,121600,0))</f>
        <v>0</v>
      </c>
      <c r="D17" s="64"/>
      <c r="E17" s="56"/>
      <c r="F17" s="56"/>
      <c r="G17" s="56"/>
      <c r="H17" s="56"/>
      <c r="I17" s="56"/>
      <c r="J17" s="56"/>
      <c r="K17" s="56"/>
    </row>
    <row r="18" spans="1:11" ht="12.75">
      <c r="A18" s="1" t="s">
        <v>68</v>
      </c>
      <c r="B18" s="27">
        <f>B17</f>
        <v>0</v>
      </c>
      <c r="D18" s="64"/>
      <c r="E18" s="56"/>
      <c r="F18" s="56"/>
      <c r="G18" s="56"/>
      <c r="H18" s="56"/>
      <c r="I18" s="56"/>
      <c r="J18" s="56"/>
      <c r="K18" s="56"/>
    </row>
    <row r="19" spans="1:11" ht="12.75">
      <c r="A19" s="1" t="s">
        <v>6</v>
      </c>
      <c r="B19" s="1">
        <f>IF(B3=0,0,IF((B7*B16)&gt;B18,B18,B7*B16))</f>
        <v>0</v>
      </c>
      <c r="D19" s="64"/>
      <c r="E19" s="56"/>
      <c r="F19" s="56"/>
      <c r="G19" s="56"/>
      <c r="H19" s="56"/>
      <c r="I19" s="56"/>
      <c r="J19" s="56"/>
      <c r="K19" s="56"/>
    </row>
    <row r="20" spans="1:11" ht="12.75">
      <c r="A20" s="1" t="s">
        <v>8</v>
      </c>
      <c r="B20" s="40">
        <f>B7-B9+B10-B19</f>
        <v>2400000</v>
      </c>
      <c r="D20" s="64"/>
      <c r="E20" s="56"/>
      <c r="F20" s="56">
        <f>Eingabe!B10</f>
        <v>0.9</v>
      </c>
      <c r="G20" s="56"/>
      <c r="H20" s="56"/>
      <c r="I20" s="56"/>
      <c r="J20" s="56"/>
      <c r="K20" s="56"/>
    </row>
    <row r="21" spans="1:11" ht="12.75">
      <c r="A21" s="1" t="s">
        <v>33</v>
      </c>
      <c r="B21" s="40">
        <f>B7</f>
        <v>2400000</v>
      </c>
      <c r="D21" s="64"/>
      <c r="E21" s="56"/>
      <c r="F21" s="56"/>
      <c r="G21" s="56"/>
      <c r="H21" s="56"/>
      <c r="I21" s="56"/>
      <c r="J21" s="56"/>
      <c r="K21" s="56"/>
    </row>
    <row r="22" spans="4:11" ht="12.75">
      <c r="D22" s="64"/>
      <c r="E22" s="56"/>
      <c r="F22" s="56"/>
      <c r="G22" s="56"/>
      <c r="H22" s="56"/>
      <c r="I22" s="56"/>
      <c r="J22" s="56"/>
      <c r="K22" s="56"/>
    </row>
    <row r="23" spans="1:11" ht="12.75">
      <c r="A23" s="20" t="s">
        <v>7</v>
      </c>
      <c r="B23" s="21"/>
      <c r="D23" s="64"/>
      <c r="E23" s="56"/>
      <c r="F23" s="56"/>
      <c r="G23" s="56"/>
      <c r="H23" s="56"/>
      <c r="I23" s="56"/>
      <c r="J23" s="56"/>
      <c r="K23" s="56"/>
    </row>
    <row r="24" spans="1:11" ht="12.75">
      <c r="A24" s="1" t="s">
        <v>8</v>
      </c>
      <c r="B24" s="30">
        <f>B20/100</f>
        <v>24000</v>
      </c>
      <c r="D24" s="64"/>
      <c r="E24" s="56"/>
      <c r="F24" s="56"/>
      <c r="G24" s="56"/>
      <c r="H24" s="56"/>
      <c r="I24" s="56"/>
      <c r="J24" s="56"/>
      <c r="K24" s="56"/>
    </row>
    <row r="25" spans="1:11" ht="12.75">
      <c r="A25" s="1" t="s">
        <v>33</v>
      </c>
      <c r="B25" s="30">
        <f>B21/100</f>
        <v>24000</v>
      </c>
      <c r="D25" s="64"/>
      <c r="E25" s="56"/>
      <c r="F25" s="56"/>
      <c r="G25" s="56"/>
      <c r="H25" s="56"/>
      <c r="I25" s="56"/>
      <c r="J25" s="56"/>
      <c r="K25" s="56"/>
    </row>
    <row r="26" spans="2:11" ht="12.75">
      <c r="B26" s="30"/>
      <c r="D26" s="64"/>
      <c r="E26" s="56"/>
      <c r="F26" s="56"/>
      <c r="G26" s="56"/>
      <c r="H26" s="56"/>
      <c r="I26" s="56"/>
      <c r="J26" s="56"/>
      <c r="K26" s="56"/>
    </row>
    <row r="27" spans="1:11" ht="12.75">
      <c r="A27" s="20" t="s">
        <v>9</v>
      </c>
      <c r="B27" s="21"/>
      <c r="D27" s="64"/>
      <c r="E27" s="56"/>
      <c r="F27" s="56"/>
      <c r="G27" s="56"/>
      <c r="H27" s="56"/>
      <c r="I27" s="56"/>
      <c r="J27" s="56"/>
      <c r="K27" s="56"/>
    </row>
    <row r="28" spans="1:11" ht="12.75">
      <c r="A28" s="1" t="s">
        <v>10</v>
      </c>
      <c r="B28" s="1">
        <f>IF(B8=3,2,1)</f>
        <v>1</v>
      </c>
      <c r="D28" s="64"/>
      <c r="E28" s="56"/>
      <c r="F28" s="56"/>
      <c r="G28" s="56"/>
      <c r="H28" s="56"/>
      <c r="I28" s="56"/>
      <c r="J28" s="56"/>
      <c r="K28" s="56"/>
    </row>
    <row r="29" spans="1:2" ht="12.75">
      <c r="A29" s="1" t="s">
        <v>11</v>
      </c>
      <c r="B29" s="1">
        <v>1000</v>
      </c>
    </row>
    <row r="30" spans="1:2" ht="12.75">
      <c r="A30" s="1" t="s">
        <v>39</v>
      </c>
      <c r="B30" s="1">
        <f>IF(B8=2,1308,0)</f>
        <v>0</v>
      </c>
    </row>
    <row r="31" spans="1:2" ht="12.75">
      <c r="A31" s="1" t="s">
        <v>12</v>
      </c>
      <c r="B31" s="1">
        <f>IF(B8&gt;5,0,36)</f>
        <v>36</v>
      </c>
    </row>
    <row r="32" spans="1:2" ht="12.75">
      <c r="A32" s="1" t="s">
        <v>13</v>
      </c>
      <c r="B32" s="1">
        <f>IF(B8&lt;4,B4*7008,IF(B8=4,B4*3504,0))</f>
        <v>0</v>
      </c>
    </row>
    <row r="33" spans="1:3" ht="12.75">
      <c r="A33" s="1" t="s">
        <v>14</v>
      </c>
      <c r="B33" s="1">
        <f>IF(B8=6,0,B29+B30+B31)</f>
        <v>1036</v>
      </c>
      <c r="C33" s="29"/>
    </row>
    <row r="35" spans="1:2" ht="12.75">
      <c r="A35" s="20" t="s">
        <v>42</v>
      </c>
      <c r="B35" s="22"/>
    </row>
    <row r="36" spans="1:2" ht="12.75">
      <c r="A36" s="1" t="s">
        <v>33</v>
      </c>
      <c r="B36" s="30">
        <f>MIN(B11,B25)</f>
        <v>24000</v>
      </c>
    </row>
    <row r="37" spans="1:2" ht="12.75">
      <c r="A37" s="1" t="s">
        <v>43</v>
      </c>
      <c r="B37" s="30">
        <f>IF(B6=1,0,ROUNDDOWN(0.56*B36*0.0945,2))</f>
        <v>1270.08</v>
      </c>
    </row>
    <row r="38" spans="1:2" ht="12.75">
      <c r="A38" s="28" t="s">
        <v>45</v>
      </c>
      <c r="B38" s="30">
        <f>IF(B28=1,1900,3000)</f>
        <v>1900</v>
      </c>
    </row>
    <row r="39" spans="1:2" ht="12.75">
      <c r="A39" s="28" t="s">
        <v>44</v>
      </c>
      <c r="B39" s="30">
        <f>MIN(B38,ROUNDDOWN(0.12*B36,2))</f>
        <v>1900</v>
      </c>
    </row>
    <row r="40" spans="1:4" ht="12.75">
      <c r="A40" s="28" t="str">
        <f>IF(Eingabe!B9=0,"KVSatz=0",7+Eingabe!B10&amp;" % + PV")</f>
        <v>7,9 % + PV</v>
      </c>
      <c r="B40" s="63">
        <f>IF(Eingabe!B9=0,0,0.079+B13)</f>
        <v>0.09175</v>
      </c>
      <c r="C40" s="65"/>
      <c r="D40" s="66" t="str">
        <f>IF(B40=0,"","Vorsorgepauschale berücksichtigt: 7,0% (=reduzierter Beitragssatz) + durchschn Zusatzbeitrag: 0,9% + "&amp;B13&amp;" (PV)")</f>
        <v>Vorsorgepauschale berücksichtigt: 7,0% (=reduzierter Beitragssatz) + durchschn Zusatzbeitrag: 0,9% + 0,01275 (PV)</v>
      </c>
    </row>
    <row r="41" spans="1:4" ht="12.75">
      <c r="A41" s="28" t="s">
        <v>87</v>
      </c>
      <c r="B41" s="30">
        <f>IF(B12&gt;0,B12,ROUNDDOWN(MIN(B25,48600)*B40*100,0)/100)</f>
        <v>2202</v>
      </c>
      <c r="C41" s="65"/>
      <c r="D41" s="67"/>
    </row>
    <row r="42" spans="1:4" ht="12.75">
      <c r="A42" s="28" t="s">
        <v>88</v>
      </c>
      <c r="B42" s="30">
        <f>IF(B41&gt;B39,B41,B39)</f>
        <v>2202</v>
      </c>
      <c r="C42" s="65"/>
      <c r="D42" s="84"/>
    </row>
    <row r="43" spans="1:4" ht="12.75">
      <c r="A43" s="28" t="s">
        <v>46</v>
      </c>
      <c r="B43" s="30">
        <f>ROUNDUP(B37+B42,0)</f>
        <v>3473</v>
      </c>
      <c r="C43" s="65"/>
      <c r="D43" s="66"/>
    </row>
    <row r="44" spans="1:2" ht="12.75">
      <c r="A44" s="28"/>
      <c r="B44" s="30"/>
    </row>
    <row r="45" spans="1:2" ht="12.75">
      <c r="A45" s="20" t="s">
        <v>26</v>
      </c>
      <c r="B45" s="21"/>
    </row>
    <row r="46" spans="1:2" ht="12.75">
      <c r="A46" s="1" t="s">
        <v>15</v>
      </c>
      <c r="B46" s="26">
        <f>ROUNDDOWN(B24-B33-B43,0)</f>
        <v>19491</v>
      </c>
    </row>
    <row r="47" spans="1:2" ht="12.75">
      <c r="A47" s="1" t="s">
        <v>21</v>
      </c>
      <c r="B47" s="26">
        <f>MAX(0,ROUNDDOWN(B46/B28,0))</f>
        <v>19491</v>
      </c>
    </row>
    <row r="49" spans="1:2" ht="12.75">
      <c r="A49" s="20" t="s">
        <v>124</v>
      </c>
      <c r="B49" s="21"/>
    </row>
    <row r="50" spans="1:2" ht="12.75">
      <c r="A50" s="1" t="s">
        <v>17</v>
      </c>
      <c r="B50" s="1">
        <f>IF(B47&lt;=8354,0,IF(B47&lt;=13469,INT((974.58*(B47-8354)/10000+1400)*(B47-8354)/10000),IF(B47&lt;=52881,INT((228.74*(B47-13469)/10000+2397)*(B47-13469)/10000+971),IF(B47&lt;=250730,INT(B47*0.42-8239),INT(B47*0.45-15761)))))*B28</f>
        <v>2497</v>
      </c>
    </row>
    <row r="51" ht="12.75">
      <c r="A51" s="23"/>
    </row>
    <row r="52" spans="1:2" ht="12.75">
      <c r="A52" s="20" t="s">
        <v>20</v>
      </c>
      <c r="B52" s="21"/>
    </row>
    <row r="53" ht="12.75">
      <c r="B53" s="26"/>
    </row>
    <row r="54" spans="1:2" ht="12.75">
      <c r="A54" s="1" t="s">
        <v>16</v>
      </c>
      <c r="B54" s="26">
        <f>MIN(26441,B47)*1.25</f>
        <v>24363.75</v>
      </c>
    </row>
    <row r="55" spans="1:2" ht="12.75">
      <c r="A55" s="1" t="s">
        <v>22</v>
      </c>
      <c r="B55" s="1">
        <f>IF(B54&lt;=8354,0,IF(B54&lt;=13469,INT((974.58*(B54-8354)/10000+1400)*(B54-8354)/10000),IF(B54&lt;=52881,INT((228.74*(B54-13469)/10000+2397)*(B54-13469)/10000+971),IF(B54&lt;=250730,INT(B54*0.42-8239),INT(B54*0.45-15761)))))</f>
        <v>3853</v>
      </c>
    </row>
    <row r="56" spans="1:2" ht="12.75">
      <c r="A56" s="1" t="s">
        <v>16</v>
      </c>
      <c r="B56" s="26">
        <f>MIN(26441,B47)*0.75</f>
        <v>14618.25</v>
      </c>
    </row>
    <row r="57" spans="1:2" ht="12.75">
      <c r="A57" s="1" t="s">
        <v>23</v>
      </c>
      <c r="B57" s="1">
        <f>IF(B56&lt;=8354,0,IF(B56&lt;=13469,INT((974.58*(B56-8354)/10000+1400)*(B56-8354)/10000),IF(B56&lt;=52881,INT((228.74*(B56-13469)/10000+2397)*(B56-13469)/10000+971),IF(B56&lt;=250730,INT(B56*0.42-8239),INT(B56*0.45-15761)))))</f>
        <v>1249</v>
      </c>
    </row>
    <row r="58" spans="1:2" ht="12.75">
      <c r="A58" s="1" t="s">
        <v>24</v>
      </c>
      <c r="B58" s="26">
        <f>(B55-B57)*2</f>
        <v>5208</v>
      </c>
    </row>
    <row r="59" spans="1:2" ht="12.75">
      <c r="A59" s="1" t="s">
        <v>25</v>
      </c>
      <c r="B59" s="1">
        <f>ROUNDDOWN(MIN(B47,26441)*0.14,0)</f>
        <v>2728</v>
      </c>
    </row>
    <row r="60" spans="1:2" ht="12.75">
      <c r="A60" s="1" t="s">
        <v>17</v>
      </c>
      <c r="B60" s="26">
        <f>MAX(B58,B59)</f>
        <v>5208</v>
      </c>
    </row>
    <row r="61" spans="1:2" ht="12.75">
      <c r="A61" s="1" t="s">
        <v>17</v>
      </c>
      <c r="B61" s="26">
        <f>IF(B47&gt;200584,(200584-26441)*0.42+B60,ROUNDDOWN(MAX(B47-26441,0)*0.42+B60,0))</f>
        <v>5208</v>
      </c>
    </row>
    <row r="62" spans="1:4" ht="12.75">
      <c r="A62" s="1" t="s">
        <v>74</v>
      </c>
      <c r="B62" s="1">
        <f>IF(AND(B47&gt;9763,B47&lt;=26441),B60,0)</f>
        <v>5208</v>
      </c>
      <c r="D62" s="26"/>
    </row>
    <row r="63" spans="1:4" ht="12.75">
      <c r="A63" s="1" t="s">
        <v>17</v>
      </c>
      <c r="B63" s="26">
        <v>1366</v>
      </c>
      <c r="D63" s="85" t="s">
        <v>115</v>
      </c>
    </row>
    <row r="64" spans="1:2" ht="12.75">
      <c r="A64" s="1" t="s">
        <v>17</v>
      </c>
      <c r="B64" s="26">
        <f>MIN(ROUNDDOWN(MAX(B47-9763,0)*0.42+B63,0),B61)</f>
        <v>5208</v>
      </c>
    </row>
    <row r="65" spans="1:2" ht="12.75">
      <c r="A65" s="1" t="s">
        <v>75</v>
      </c>
      <c r="B65" s="26">
        <f>ROUNDDOWN(MAX(B47-200584,0)*0.45+B64,0)</f>
        <v>5208</v>
      </c>
    </row>
    <row r="66" spans="1:4" ht="12.75">
      <c r="A66" s="1" t="s">
        <v>18</v>
      </c>
      <c r="B66" s="1">
        <f>ROUNDDOWN(IF(B8&lt;5,B50,B65)*B14,0)</f>
        <v>2497</v>
      </c>
      <c r="D66" s="1" t="s">
        <v>95</v>
      </c>
    </row>
    <row r="67" spans="1:4" ht="12.75">
      <c r="A67" s="1" t="s">
        <v>5</v>
      </c>
      <c r="B67" s="1">
        <f>B66*100</f>
        <v>249700</v>
      </c>
      <c r="D67" s="1" t="s">
        <v>96</v>
      </c>
    </row>
    <row r="68" ht="12.75">
      <c r="D68" s="1" t="s">
        <v>98</v>
      </c>
    </row>
    <row r="69" spans="1:2" ht="12.75">
      <c r="A69" s="20" t="s">
        <v>73</v>
      </c>
      <c r="B69" s="21"/>
    </row>
    <row r="71" spans="1:2" ht="12.75">
      <c r="A71" s="1" t="s">
        <v>37</v>
      </c>
      <c r="B71" s="1">
        <f>IF(B5=1,B67,IF(B5=2,ROUNDDOWN(B67/12,0),IF(B5=3,ROUNDDOWN((B67*7)/360,0),ROUNDDOWN(B67/360,0))))</f>
        <v>20808</v>
      </c>
    </row>
    <row r="72" spans="1:2" ht="12.75">
      <c r="A72" s="1" t="s">
        <v>14</v>
      </c>
      <c r="B72" s="1">
        <f>B32+B33</f>
        <v>1036</v>
      </c>
    </row>
    <row r="73" spans="1:2" ht="12.75">
      <c r="A73" s="1" t="s">
        <v>15</v>
      </c>
      <c r="B73" s="26">
        <f>B24-B43-B72</f>
        <v>19491</v>
      </c>
    </row>
    <row r="74" spans="1:2" ht="12.75">
      <c r="A74" s="1" t="s">
        <v>40</v>
      </c>
      <c r="B74" s="1">
        <f>IF(B73&lt;36,0,ROUNDDOWN(B73/B28,0))</f>
        <v>19491</v>
      </c>
    </row>
    <row r="75" spans="1:4" ht="12.75">
      <c r="A75" s="1" t="s">
        <v>17</v>
      </c>
      <c r="B75" s="1">
        <f>IF(B74&lt;=8354,0,IF(B74&lt;=13469,INT((974.58*(B74-8354)/10000+1400)*(B74-8354)/10000),IF(B74&lt;=52881,INT((228.74*(B74-13469)/10000+2397)*(B74-13469)/10000+971),IF(B74&lt;=250730,INT(B74*0.42-8239),INT(B74*0.45-15761)))))*B28</f>
        <v>2497</v>
      </c>
      <c r="D75" s="1" t="s">
        <v>95</v>
      </c>
    </row>
    <row r="76" spans="1:4" ht="12.75">
      <c r="A76" s="1" t="s">
        <v>27</v>
      </c>
      <c r="B76" s="1">
        <f>IF(B4&gt;0,ROUNDDOWN(B75*B14,0),B66)</f>
        <v>2497</v>
      </c>
      <c r="D76" s="1" t="s">
        <v>97</v>
      </c>
    </row>
    <row r="78" spans="1:2" ht="12.75">
      <c r="A78" s="20" t="s">
        <v>28</v>
      </c>
      <c r="B78" s="21"/>
    </row>
    <row r="79" spans="1:2" ht="12.75">
      <c r="A79" s="1" t="s">
        <v>29</v>
      </c>
      <c r="B79" s="1">
        <f>972*B28</f>
        <v>972</v>
      </c>
    </row>
    <row r="80" spans="1:2" ht="12.75">
      <c r="A80" s="1" t="s">
        <v>30</v>
      </c>
      <c r="B80" s="30">
        <f>ROUNDDOWN((B76*5.5)/100,2)</f>
        <v>137.33</v>
      </c>
    </row>
    <row r="81" spans="1:2" ht="12.75">
      <c r="A81" s="1" t="s">
        <v>31</v>
      </c>
      <c r="B81" s="30">
        <f>((B76-B79)*20)/100</f>
        <v>305</v>
      </c>
    </row>
    <row r="82" spans="1:5" ht="12.75">
      <c r="A82" s="1" t="s">
        <v>30</v>
      </c>
      <c r="B82" s="30">
        <f>MIN(B81,B80)</f>
        <v>137.33</v>
      </c>
      <c r="E82" s="30"/>
    </row>
    <row r="83" spans="1:2" ht="12.75">
      <c r="A83" s="1" t="s">
        <v>5</v>
      </c>
      <c r="B83" s="1">
        <f>B82*100</f>
        <v>13733.000000000002</v>
      </c>
    </row>
    <row r="85" spans="1:2" ht="12.75">
      <c r="A85" s="20" t="s">
        <v>72</v>
      </c>
      <c r="B85" s="21"/>
    </row>
    <row r="86" spans="1:2" ht="12.75">
      <c r="A86" s="1" t="s">
        <v>19</v>
      </c>
      <c r="B86" s="1">
        <f>ROUNDDOWN(IF(B5=1,B83,IF(B5=2,B83/12,IF(B5=3,(B83*7)/360,B83/360))),0)</f>
        <v>1144</v>
      </c>
    </row>
    <row r="87" spans="1:2" ht="12.75">
      <c r="A87" s="1" t="s">
        <v>38</v>
      </c>
      <c r="B87" s="1">
        <f>IF(B76&gt;B79,B86,0)</f>
        <v>1144</v>
      </c>
    </row>
    <row r="88" spans="1:2" ht="12.75">
      <c r="A88" s="1" t="s">
        <v>5</v>
      </c>
      <c r="B88" s="1">
        <f>B76*100</f>
        <v>249700</v>
      </c>
    </row>
    <row r="90" spans="1:2" ht="12.75">
      <c r="A90" s="20" t="s">
        <v>32</v>
      </c>
      <c r="B90" s="21"/>
    </row>
    <row r="91" spans="1:2" ht="12.75">
      <c r="A91" s="1" t="s">
        <v>19</v>
      </c>
      <c r="B91" s="1">
        <f>ROUNDDOWN(IF(B5=1,B88,IF(B5=2,B88/12,IF(B5=3,(B88*7)/360,B88/360))),0)</f>
        <v>20808</v>
      </c>
    </row>
    <row r="92" spans="1:2" ht="12.75">
      <c r="A92" s="1" t="s">
        <v>32</v>
      </c>
      <c r="B92" s="1">
        <f>B91</f>
        <v>20808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HyperlinkBase>http://www.parmentier.de/steuer/lohnsteuer2006.xls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EXCEL-Lohnsteuerberechnung 2013 mit Zellfunktionen</dc:title>
  <dc:subject/>
  <dc:creator>Wolfgang Parmentier</dc:creator>
  <cp:keywords/>
  <dc:description/>
  <cp:lastModifiedBy>Johannes Parmentier</cp:lastModifiedBy>
  <cp:lastPrinted>2006-02-07T15:12:52Z</cp:lastPrinted>
  <dcterms:created xsi:type="dcterms:W3CDTF">1999-02-09T12:11:13Z</dcterms:created>
  <dcterms:modified xsi:type="dcterms:W3CDTF">2014-12-14T13:00:22Z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